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C:\z-places\Elizandra\Cassbeth\covid-19\return-to-life\"/>
    </mc:Choice>
  </mc:AlternateContent>
  <xr:revisionPtr revIDLastSave="0" documentId="13_ncr:1_{DCD533BF-4DAB-49E2-BA3F-61196F4EB402}" xr6:coauthVersionLast="47" xr6:coauthVersionMax="47" xr10:uidLastSave="{00000000-0000-0000-0000-000000000000}"/>
  <bookViews>
    <workbookView xWindow="-120" yWindow="-120" windowWidth="20730" windowHeight="11310" tabRatio="833" xr2:uid="{00000000-000D-0000-FFFF-FFFF00000000}"/>
  </bookViews>
  <sheets>
    <sheet name="Cover" sheetId="1" r:id="rId1"/>
    <sheet name=" Odds 2%" sheetId="57" r:id="rId2"/>
    <sheet name=" Odds 15%" sheetId="56" r:id="rId3"/>
    <sheet name="Probability 2022 2%" sheetId="58" r:id="rId4"/>
    <sheet name=" Probability 2022 15%" sheetId="55" r:id="rId5"/>
    <sheet name="Probability" sheetId="16" r:id="rId6"/>
    <sheet name="eACH" sheetId="52" r:id="rId7"/>
    <sheet name="ACH Calc" sheetId="51" r:id="rId8"/>
    <sheet name="ACH Virus" sheetId="54" r:id="rId9"/>
    <sheet name="Ventilation" sheetId="23" r:id="rId10"/>
    <sheet name="death rates" sheetId="13" r:id="rId11"/>
    <sheet name="VentAlt" sheetId="50" r:id="rId12"/>
    <sheet name="Test Templates" sheetId="49" r:id="rId13"/>
    <sheet name="Drum Tests" sheetId="48" r:id="rId14"/>
    <sheet name="Ops Tests" sheetId="47" r:id="rId15"/>
    <sheet name="Airlines" sheetId="46" r:id="rId16"/>
    <sheet name="Vol Ratios" sheetId="45" r:id="rId17"/>
    <sheet name="Booster" sheetId="44" r:id="rId18"/>
    <sheet name="HEPA" sheetId="43" r:id="rId19"/>
    <sheet name="PCO Ionizers" sheetId="42" r:id="rId20"/>
    <sheet name="2021" sheetId="24" r:id="rId21"/>
    <sheet name="Hospitals" sheetId="37" r:id="rId22"/>
    <sheet name="Vac BTI" sheetId="41" r:id="rId23"/>
    <sheet name="Flu" sheetId="36" r:id="rId24"/>
    <sheet name="cost benefit" sheetId="35" r:id="rId25"/>
    <sheet name="ACH CML" sheetId="10" r:id="rId26"/>
    <sheet name="Dilution" sheetId="40" r:id="rId27"/>
    <sheet name="Outside P" sheetId="18" r:id="rId28"/>
    <sheet name="CFR" sheetId="39" r:id="rId29"/>
    <sheet name="Telework" sheetId="38" r:id="rId30"/>
    <sheet name="Arch Trade" sheetId="34" r:id="rId31"/>
    <sheet name="Perf Dec 28" sheetId="32" r:id="rId32"/>
    <sheet name="Airplane R0" sheetId="31" r:id="rId33"/>
    <sheet name="Travel" sheetId="30" r:id="rId34"/>
    <sheet name="V Dist" sheetId="33" r:id="rId35"/>
    <sheet name="UV Design" sheetId="26" r:id="rId36"/>
    <sheet name="Heat" sheetId="29" r:id="rId37"/>
    <sheet name="HVAC Design" sheetId="12" r:id="rId38"/>
    <sheet name="Fans" sheetId="11" r:id="rId39"/>
    <sheet name="Concentration" sheetId="25" r:id="rId40"/>
    <sheet name="2020-2" sheetId="22" r:id="rId41"/>
    <sheet name="2020-1" sheetId="21" r:id="rId42"/>
    <sheet name="Life Expect" sheetId="27" r:id="rId43"/>
    <sheet name="Schools" sheetId="14" r:id="rId44"/>
    <sheet name="Droplet Dispersion" sheetId="8" r:id="rId45"/>
    <sheet name="Diffusion" sheetId="15" r:id="rId46"/>
    <sheet name="Marathon" sheetId="19" r:id="rId47"/>
    <sheet name="Public Transit" sheetId="17" r:id="rId48"/>
    <sheet name="Country" sheetId="28" r:id="rId49"/>
    <sheet name="Systems sort C" sheetId="2" r:id="rId50"/>
    <sheet name="Systems sort E" sheetId="3" r:id="rId51"/>
    <sheet name="Systems sort F" sheetId="4" r:id="rId52"/>
    <sheet name="architectures" sheetId="5" r:id="rId53"/>
    <sheet name="home protocols" sheetId="6" r:id="rId54"/>
    <sheet name="mental model" sheetId="7" r:id="rId55"/>
    <sheet name="Risk" sheetId="9" r:id="rId56"/>
  </sheets>
  <definedNames>
    <definedName name="_xlnm._FilterDatabase" localSheetId="25" hidden="1">'ACH CML'!$A$4:$Q$347</definedName>
    <definedName name="_xlnm._FilterDatabase" localSheetId="14" hidden="1">'Ops Tests'!$A$7:$R$71</definedName>
    <definedName name="_xlnm._FilterDatabase" localSheetId="31" hidden="1">'Perf Dec 28'!$A$4:$P$226</definedName>
    <definedName name="_xlnm._FilterDatabase" localSheetId="34" hidden="1">'V Dist'!$L$13:$M$49</definedName>
    <definedName name="OLE_LINK1" localSheetId="14">'Ops Tests'!$A$7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8" i="13" l="1"/>
  <c r="F48" i="13"/>
  <c r="G48" i="13"/>
  <c r="H48" i="13"/>
  <c r="I48" i="13"/>
  <c r="J48" i="13"/>
  <c r="S48" i="13"/>
  <c r="T48" i="13"/>
  <c r="U48" i="13"/>
  <c r="F45" i="13"/>
  <c r="F44" i="13"/>
  <c r="F43" i="13"/>
  <c r="F42" i="13"/>
  <c r="F41" i="13"/>
  <c r="F40" i="13"/>
  <c r="F39" i="13"/>
  <c r="F38" i="13"/>
  <c r="F37" i="13"/>
  <c r="F35" i="13"/>
  <c r="F34" i="13"/>
  <c r="F33" i="13"/>
  <c r="I85" i="13"/>
  <c r="I84" i="13"/>
  <c r="I83" i="13"/>
  <c r="I82" i="13"/>
  <c r="I81" i="13"/>
  <c r="I80" i="13"/>
  <c r="I79" i="13"/>
  <c r="G85" i="13"/>
  <c r="G84" i="13"/>
  <c r="G83" i="13"/>
  <c r="G82" i="13"/>
  <c r="G81" i="13"/>
  <c r="G80" i="13"/>
  <c r="G79" i="13"/>
  <c r="F85" i="13"/>
  <c r="F84" i="13"/>
  <c r="F83" i="13"/>
  <c r="F82" i="13"/>
  <c r="F81" i="13"/>
  <c r="F80" i="13"/>
  <c r="F79" i="13"/>
  <c r="F78" i="13"/>
  <c r="F77" i="13"/>
  <c r="F76" i="13"/>
  <c r="F75" i="13"/>
  <c r="F74" i="13"/>
  <c r="F73" i="13"/>
  <c r="F72" i="13"/>
  <c r="I45" i="13"/>
  <c r="I44" i="13"/>
  <c r="I43" i="13"/>
  <c r="I42" i="13"/>
  <c r="I41" i="13"/>
  <c r="I40" i="13"/>
  <c r="I39" i="13"/>
  <c r="G45" i="13"/>
  <c r="G44" i="13"/>
  <c r="G43" i="13"/>
  <c r="G42" i="13"/>
  <c r="G41" i="13"/>
  <c r="C45" i="13"/>
  <c r="C44" i="13"/>
  <c r="C43" i="13"/>
  <c r="C42" i="13"/>
  <c r="C41" i="13"/>
  <c r="C40" i="13"/>
  <c r="C85" i="13"/>
  <c r="C84" i="13"/>
  <c r="C83" i="13"/>
  <c r="C82" i="13"/>
  <c r="B86" i="13"/>
  <c r="C86" i="13" s="1"/>
  <c r="D86" i="13"/>
  <c r="P84" i="13"/>
  <c r="P85" i="13" s="1"/>
  <c r="P86" i="13" s="1"/>
  <c r="E92" i="58"/>
  <c r="F92" i="58" s="1"/>
  <c r="H92" i="58" s="1"/>
  <c r="E91" i="58"/>
  <c r="F91" i="58" s="1"/>
  <c r="H91" i="58" s="1"/>
  <c r="E90" i="58"/>
  <c r="F90" i="58" s="1"/>
  <c r="H90" i="58" s="1"/>
  <c r="E88" i="58"/>
  <c r="F88" i="58" s="1"/>
  <c r="H88" i="58" s="1"/>
  <c r="E87" i="58"/>
  <c r="F87" i="58" s="1"/>
  <c r="H87" i="58" s="1"/>
  <c r="E86" i="58"/>
  <c r="F86" i="58" s="1"/>
  <c r="H86" i="58" s="1"/>
  <c r="G83" i="58"/>
  <c r="G82" i="58"/>
  <c r="G81" i="58"/>
  <c r="G78" i="58"/>
  <c r="H78" i="58" s="1"/>
  <c r="L73" i="58"/>
  <c r="K73" i="58"/>
  <c r="M73" i="58" s="1"/>
  <c r="H73" i="58"/>
  <c r="F73" i="58"/>
  <c r="E73" i="58"/>
  <c r="L72" i="58"/>
  <c r="K72" i="58"/>
  <c r="M72" i="58" s="1"/>
  <c r="H72" i="58"/>
  <c r="T72" i="58" s="1"/>
  <c r="N72" i="58" s="1"/>
  <c r="F72" i="58"/>
  <c r="L71" i="58"/>
  <c r="K71" i="58"/>
  <c r="M71" i="58" s="1"/>
  <c r="F71" i="58"/>
  <c r="E71" i="58"/>
  <c r="T71" i="58" s="1"/>
  <c r="N71" i="58" s="1"/>
  <c r="T70" i="58"/>
  <c r="N70" i="58"/>
  <c r="L70" i="58"/>
  <c r="K70" i="58"/>
  <c r="M70" i="58" s="1"/>
  <c r="Q70" i="58" s="1"/>
  <c r="R70" i="58" s="1"/>
  <c r="S70" i="58" s="1"/>
  <c r="F70" i="58"/>
  <c r="B70" i="58"/>
  <c r="C70" i="58" s="1"/>
  <c r="L69" i="58"/>
  <c r="K69" i="58"/>
  <c r="M69" i="58" s="1"/>
  <c r="F69" i="58"/>
  <c r="E69" i="58"/>
  <c r="T69" i="58" s="1"/>
  <c r="N69" i="58" s="1"/>
  <c r="T68" i="58"/>
  <c r="N68" i="58"/>
  <c r="L68" i="58"/>
  <c r="K68" i="58"/>
  <c r="M68" i="58" s="1"/>
  <c r="Q68" i="58" s="1"/>
  <c r="R68" i="58" s="1"/>
  <c r="S68" i="58" s="1"/>
  <c r="F68" i="58"/>
  <c r="B68" i="58"/>
  <c r="C68" i="58" s="1"/>
  <c r="T66" i="58"/>
  <c r="N66" i="58"/>
  <c r="L66" i="58"/>
  <c r="K66" i="58"/>
  <c r="M66" i="58" s="1"/>
  <c r="Q66" i="58" s="1"/>
  <c r="R66" i="58" s="1"/>
  <c r="S66" i="58" s="1"/>
  <c r="F66" i="58"/>
  <c r="B66" i="58"/>
  <c r="C66" i="58" s="1"/>
  <c r="T65" i="58"/>
  <c r="N65" i="58"/>
  <c r="L65" i="58"/>
  <c r="K65" i="58"/>
  <c r="M65" i="58" s="1"/>
  <c r="Q65" i="58" s="1"/>
  <c r="R65" i="58" s="1"/>
  <c r="S65" i="58" s="1"/>
  <c r="F65" i="58"/>
  <c r="B65" i="58"/>
  <c r="C65" i="58" s="1"/>
  <c r="T64" i="58"/>
  <c r="N64" i="58"/>
  <c r="K64" i="58"/>
  <c r="M64" i="58" s="1"/>
  <c r="Q64" i="58" s="1"/>
  <c r="R64" i="58" s="1"/>
  <c r="S64" i="58" s="1"/>
  <c r="F64" i="58"/>
  <c r="B64" i="58"/>
  <c r="C64" i="58" s="1"/>
  <c r="T63" i="58"/>
  <c r="N63" i="58"/>
  <c r="K63" i="58"/>
  <c r="M63" i="58" s="1"/>
  <c r="Q63" i="58" s="1"/>
  <c r="R63" i="58" s="1"/>
  <c r="S63" i="58" s="1"/>
  <c r="F63" i="58"/>
  <c r="B63" i="58"/>
  <c r="C63" i="58" s="1"/>
  <c r="T62" i="58"/>
  <c r="N62" i="58"/>
  <c r="K62" i="58"/>
  <c r="M62" i="58" s="1"/>
  <c r="Q62" i="58" s="1"/>
  <c r="R62" i="58" s="1"/>
  <c r="S62" i="58" s="1"/>
  <c r="B62" i="58"/>
  <c r="C62" i="58" s="1"/>
  <c r="T60" i="58"/>
  <c r="N60" i="58"/>
  <c r="L60" i="58"/>
  <c r="K60" i="58"/>
  <c r="M60" i="58" s="1"/>
  <c r="Q60" i="58" s="1"/>
  <c r="R60" i="58" s="1"/>
  <c r="S60" i="58" s="1"/>
  <c r="F60" i="58"/>
  <c r="B60" i="58"/>
  <c r="C60" i="58" s="1"/>
  <c r="T59" i="58"/>
  <c r="N59" i="58"/>
  <c r="L59" i="58"/>
  <c r="K59" i="58"/>
  <c r="M59" i="58" s="1"/>
  <c r="Q59" i="58" s="1"/>
  <c r="R59" i="58" s="1"/>
  <c r="S59" i="58" s="1"/>
  <c r="F59" i="58"/>
  <c r="B59" i="58"/>
  <c r="C59" i="58" s="1"/>
  <c r="T58" i="58"/>
  <c r="N58" i="58"/>
  <c r="K58" i="58"/>
  <c r="M58" i="58" s="1"/>
  <c r="Q58" i="58" s="1"/>
  <c r="R58" i="58" s="1"/>
  <c r="S58" i="58" s="1"/>
  <c r="F58" i="58"/>
  <c r="B58" i="58"/>
  <c r="C58" i="58" s="1"/>
  <c r="T57" i="58"/>
  <c r="N57" i="58"/>
  <c r="K57" i="58"/>
  <c r="M57" i="58" s="1"/>
  <c r="Q57" i="58" s="1"/>
  <c r="R57" i="58" s="1"/>
  <c r="S57" i="58" s="1"/>
  <c r="F57" i="58"/>
  <c r="B57" i="58"/>
  <c r="C57" i="58" s="1"/>
  <c r="T56" i="58"/>
  <c r="N56" i="58"/>
  <c r="K56" i="58"/>
  <c r="M56" i="58" s="1"/>
  <c r="Q56" i="58" s="1"/>
  <c r="R56" i="58" s="1"/>
  <c r="S56" i="58" s="1"/>
  <c r="F56" i="58"/>
  <c r="B56" i="58"/>
  <c r="C56" i="58" s="1"/>
  <c r="T54" i="58"/>
  <c r="O54" i="58"/>
  <c r="N54" i="58"/>
  <c r="L54" i="58"/>
  <c r="K54" i="58"/>
  <c r="M54" i="58" s="1"/>
  <c r="F54" i="58"/>
  <c r="T53" i="58"/>
  <c r="O53" i="58"/>
  <c r="N53" i="58"/>
  <c r="K53" i="58"/>
  <c r="M53" i="58" s="1"/>
  <c r="F53" i="58"/>
  <c r="T52" i="58"/>
  <c r="O52" i="58"/>
  <c r="N52" i="58"/>
  <c r="K52" i="58"/>
  <c r="M52" i="58" s="1"/>
  <c r="F52" i="58"/>
  <c r="T50" i="58"/>
  <c r="O50" i="58"/>
  <c r="N50" i="58"/>
  <c r="L50" i="58"/>
  <c r="K50" i="58"/>
  <c r="M50" i="58" s="1"/>
  <c r="F50" i="58"/>
  <c r="T49" i="58"/>
  <c r="O49" i="58"/>
  <c r="N49" i="58"/>
  <c r="K49" i="58"/>
  <c r="M49" i="58" s="1"/>
  <c r="F49" i="58"/>
  <c r="T48" i="58"/>
  <c r="O48" i="58"/>
  <c r="N48" i="58"/>
  <c r="K48" i="58"/>
  <c r="M48" i="58" s="1"/>
  <c r="F48" i="58"/>
  <c r="T46" i="58"/>
  <c r="O46" i="58"/>
  <c r="N46" i="58"/>
  <c r="K46" i="58"/>
  <c r="M46" i="58" s="1"/>
  <c r="F46" i="58"/>
  <c r="T45" i="58"/>
  <c r="O45" i="58"/>
  <c r="N45" i="58"/>
  <c r="K45" i="58"/>
  <c r="M45" i="58" s="1"/>
  <c r="F45" i="58"/>
  <c r="T44" i="58"/>
  <c r="O44" i="58"/>
  <c r="N44" i="58"/>
  <c r="K44" i="58"/>
  <c r="M44" i="58" s="1"/>
  <c r="F44" i="58"/>
  <c r="T43" i="58"/>
  <c r="O43" i="58"/>
  <c r="N43" i="58"/>
  <c r="K43" i="58"/>
  <c r="M43" i="58" s="1"/>
  <c r="F43" i="58"/>
  <c r="T42" i="58"/>
  <c r="O42" i="58"/>
  <c r="N42" i="58"/>
  <c r="K42" i="58"/>
  <c r="M42" i="58" s="1"/>
  <c r="F42" i="58"/>
  <c r="T40" i="58"/>
  <c r="O40" i="58"/>
  <c r="N40" i="58"/>
  <c r="K40" i="58"/>
  <c r="M40" i="58" s="1"/>
  <c r="F40" i="58"/>
  <c r="T39" i="58"/>
  <c r="O39" i="58"/>
  <c r="N39" i="58"/>
  <c r="K39" i="58"/>
  <c r="M39" i="58" s="1"/>
  <c r="F39" i="58"/>
  <c r="T38" i="58"/>
  <c r="N38" i="58"/>
  <c r="K38" i="58"/>
  <c r="M38" i="58" s="1"/>
  <c r="Q38" i="58" s="1"/>
  <c r="R38" i="58" s="1"/>
  <c r="S38" i="58" s="1"/>
  <c r="F38" i="58"/>
  <c r="B38" i="58"/>
  <c r="C38" i="58" s="1"/>
  <c r="T37" i="58"/>
  <c r="N37" i="58"/>
  <c r="K37" i="58"/>
  <c r="M37" i="58" s="1"/>
  <c r="Q37" i="58" s="1"/>
  <c r="R37" i="58" s="1"/>
  <c r="S37" i="58" s="1"/>
  <c r="F37" i="58"/>
  <c r="B37" i="58"/>
  <c r="C37" i="58" s="1"/>
  <c r="T36" i="58"/>
  <c r="N36" i="58"/>
  <c r="K36" i="58"/>
  <c r="M36" i="58" s="1"/>
  <c r="Q36" i="58" s="1"/>
  <c r="R36" i="58" s="1"/>
  <c r="S36" i="58" s="1"/>
  <c r="F36" i="58"/>
  <c r="B36" i="58"/>
  <c r="C36" i="58" s="1"/>
  <c r="T35" i="58"/>
  <c r="N35" i="58"/>
  <c r="K35" i="58"/>
  <c r="M35" i="58" s="1"/>
  <c r="Q35" i="58" s="1"/>
  <c r="R35" i="58" s="1"/>
  <c r="S35" i="58" s="1"/>
  <c r="F35" i="58"/>
  <c r="B35" i="58"/>
  <c r="C35" i="58" s="1"/>
  <c r="T34" i="58"/>
  <c r="N34" i="58"/>
  <c r="K34" i="58"/>
  <c r="M34" i="58" s="1"/>
  <c r="Q34" i="58" s="1"/>
  <c r="R34" i="58" s="1"/>
  <c r="S34" i="58" s="1"/>
  <c r="F34" i="58"/>
  <c r="B34" i="58"/>
  <c r="C34" i="58" s="1"/>
  <c r="T33" i="58"/>
  <c r="O33" i="58"/>
  <c r="N33" i="58"/>
  <c r="K33" i="58"/>
  <c r="M33" i="58" s="1"/>
  <c r="F33" i="58"/>
  <c r="T32" i="58"/>
  <c r="O32" i="58"/>
  <c r="N32" i="58"/>
  <c r="K32" i="58"/>
  <c r="M32" i="58" s="1"/>
  <c r="F32" i="58"/>
  <c r="T31" i="58"/>
  <c r="O31" i="58"/>
  <c r="N31" i="58"/>
  <c r="K31" i="58"/>
  <c r="M31" i="58" s="1"/>
  <c r="F31" i="58"/>
  <c r="I110" i="57"/>
  <c r="H110" i="57"/>
  <c r="G110" i="57"/>
  <c r="I109" i="57"/>
  <c r="H109" i="57"/>
  <c r="G109" i="57"/>
  <c r="F109" i="57"/>
  <c r="I108" i="57"/>
  <c r="H108" i="57"/>
  <c r="G108" i="57"/>
  <c r="F108" i="57"/>
  <c r="I107" i="57"/>
  <c r="H107" i="57"/>
  <c r="G107" i="57"/>
  <c r="F107" i="57"/>
  <c r="I106" i="57"/>
  <c r="H106" i="57"/>
  <c r="G106" i="57"/>
  <c r="F106" i="57"/>
  <c r="I105" i="57"/>
  <c r="H105" i="57"/>
  <c r="G105" i="57"/>
  <c r="F105" i="57"/>
  <c r="I104" i="57"/>
  <c r="H104" i="57"/>
  <c r="G104" i="57"/>
  <c r="F104" i="57"/>
  <c r="I103" i="57"/>
  <c r="H103" i="57"/>
  <c r="G103" i="57"/>
  <c r="F103" i="57"/>
  <c r="I102" i="57"/>
  <c r="H102" i="57"/>
  <c r="G102" i="57"/>
  <c r="F102" i="57"/>
  <c r="I101" i="57"/>
  <c r="H101" i="57"/>
  <c r="G101" i="57"/>
  <c r="F101" i="57"/>
  <c r="I100" i="57"/>
  <c r="H100" i="57"/>
  <c r="G100" i="57"/>
  <c r="F100" i="57"/>
  <c r="J97" i="57"/>
  <c r="J96" i="57"/>
  <c r="J95" i="57"/>
  <c r="J94" i="57"/>
  <c r="J93" i="57"/>
  <c r="J92" i="57"/>
  <c r="J91" i="57"/>
  <c r="J90" i="57"/>
  <c r="J89" i="57"/>
  <c r="U83" i="57"/>
  <c r="R83" i="57"/>
  <c r="J83" i="57"/>
  <c r="F83" i="57"/>
  <c r="G83" i="57" s="1"/>
  <c r="H83" i="57" s="1"/>
  <c r="B83" i="57"/>
  <c r="C83" i="57" s="1"/>
  <c r="U82" i="57"/>
  <c r="R82" i="57"/>
  <c r="J82" i="57"/>
  <c r="F82" i="57"/>
  <c r="G82" i="57" s="1"/>
  <c r="H82" i="57" s="1"/>
  <c r="B82" i="57"/>
  <c r="C82" i="57" s="1"/>
  <c r="U81" i="57"/>
  <c r="R81" i="57"/>
  <c r="J81" i="57"/>
  <c r="F81" i="57"/>
  <c r="G81" i="57" s="1"/>
  <c r="H81" i="57" s="1"/>
  <c r="B81" i="57"/>
  <c r="C81" i="57" s="1"/>
  <c r="U80" i="57"/>
  <c r="R80" i="57"/>
  <c r="J80" i="57"/>
  <c r="F80" i="57"/>
  <c r="G80" i="57" s="1"/>
  <c r="H80" i="57" s="1"/>
  <c r="B80" i="57"/>
  <c r="C80" i="57" s="1"/>
  <c r="U79" i="57"/>
  <c r="R79" i="57"/>
  <c r="J79" i="57"/>
  <c r="F79" i="57"/>
  <c r="G79" i="57" s="1"/>
  <c r="H79" i="57" s="1"/>
  <c r="B79" i="57"/>
  <c r="C79" i="57" s="1"/>
  <c r="U78" i="57"/>
  <c r="R78" i="57"/>
  <c r="J78" i="57"/>
  <c r="F78" i="57"/>
  <c r="G78" i="57" s="1"/>
  <c r="H78" i="57" s="1"/>
  <c r="B78" i="57"/>
  <c r="C78" i="57" s="1"/>
  <c r="U77" i="57"/>
  <c r="R77" i="57"/>
  <c r="J77" i="57"/>
  <c r="F77" i="57"/>
  <c r="G77" i="57" s="1"/>
  <c r="H77" i="57" s="1"/>
  <c r="B77" i="57"/>
  <c r="C77" i="57" s="1"/>
  <c r="U76" i="57"/>
  <c r="R76" i="57"/>
  <c r="J76" i="57"/>
  <c r="F76" i="57"/>
  <c r="G76" i="57" s="1"/>
  <c r="H76" i="57" s="1"/>
  <c r="B76" i="57"/>
  <c r="C76" i="57" s="1"/>
  <c r="U75" i="57"/>
  <c r="R75" i="57"/>
  <c r="J75" i="57"/>
  <c r="F75" i="57"/>
  <c r="G75" i="57" s="1"/>
  <c r="H75" i="57" s="1"/>
  <c r="B75" i="57"/>
  <c r="C75" i="57" s="1"/>
  <c r="U74" i="57"/>
  <c r="R74" i="57"/>
  <c r="J74" i="57"/>
  <c r="F74" i="57"/>
  <c r="G74" i="57" s="1"/>
  <c r="H74" i="57" s="1"/>
  <c r="B74" i="57"/>
  <c r="C74" i="57" s="1"/>
  <c r="U73" i="57"/>
  <c r="R73" i="57"/>
  <c r="J73" i="57"/>
  <c r="F73" i="57"/>
  <c r="G73" i="57" s="1"/>
  <c r="H73" i="57" s="1"/>
  <c r="B73" i="57"/>
  <c r="C73" i="57" s="1"/>
  <c r="U71" i="57"/>
  <c r="R71" i="57"/>
  <c r="J71" i="57"/>
  <c r="F71" i="57"/>
  <c r="G71" i="57" s="1"/>
  <c r="H71" i="57" s="1"/>
  <c r="B71" i="57"/>
  <c r="C71" i="57" s="1"/>
  <c r="U70" i="57"/>
  <c r="R70" i="57"/>
  <c r="J70" i="57"/>
  <c r="F70" i="57"/>
  <c r="G70" i="57" s="1"/>
  <c r="H70" i="57" s="1"/>
  <c r="B70" i="57"/>
  <c r="C70" i="57" s="1"/>
  <c r="U69" i="57"/>
  <c r="R69" i="57"/>
  <c r="J69" i="57"/>
  <c r="F69" i="57"/>
  <c r="G69" i="57" s="1"/>
  <c r="H69" i="57" s="1"/>
  <c r="B69" i="57"/>
  <c r="C69" i="57" s="1"/>
  <c r="U68" i="57"/>
  <c r="R68" i="57"/>
  <c r="J68" i="57"/>
  <c r="F68" i="57"/>
  <c r="G68" i="57" s="1"/>
  <c r="H68" i="57" s="1"/>
  <c r="B68" i="57"/>
  <c r="C68" i="57" s="1"/>
  <c r="U67" i="57"/>
  <c r="R67" i="57"/>
  <c r="J67" i="57"/>
  <c r="F67" i="57"/>
  <c r="G67" i="57" s="1"/>
  <c r="H67" i="57" s="1"/>
  <c r="B67" i="57"/>
  <c r="C67" i="57" s="1"/>
  <c r="U66" i="57"/>
  <c r="R66" i="57"/>
  <c r="J66" i="57"/>
  <c r="F66" i="57"/>
  <c r="G66" i="57" s="1"/>
  <c r="H66" i="57" s="1"/>
  <c r="B66" i="57"/>
  <c r="C66" i="57" s="1"/>
  <c r="U65" i="57"/>
  <c r="R65" i="57"/>
  <c r="J65" i="57"/>
  <c r="F65" i="57"/>
  <c r="G65" i="57" s="1"/>
  <c r="H65" i="57" s="1"/>
  <c r="B65" i="57"/>
  <c r="C65" i="57" s="1"/>
  <c r="U64" i="57"/>
  <c r="R64" i="57"/>
  <c r="J64" i="57"/>
  <c r="F64" i="57"/>
  <c r="G64" i="57" s="1"/>
  <c r="H64" i="57" s="1"/>
  <c r="B64" i="57"/>
  <c r="C64" i="57" s="1"/>
  <c r="U63" i="57"/>
  <c r="R63" i="57"/>
  <c r="J63" i="57"/>
  <c r="F63" i="57"/>
  <c r="G63" i="57" s="1"/>
  <c r="H63" i="57" s="1"/>
  <c r="B63" i="57"/>
  <c r="C63" i="57" s="1"/>
  <c r="U62" i="57"/>
  <c r="R62" i="57"/>
  <c r="J62" i="57"/>
  <c r="F62" i="57"/>
  <c r="G62" i="57" s="1"/>
  <c r="H62" i="57" s="1"/>
  <c r="B62" i="57"/>
  <c r="C62" i="57" s="1"/>
  <c r="U61" i="57"/>
  <c r="R61" i="57"/>
  <c r="J61" i="57"/>
  <c r="F61" i="57"/>
  <c r="G61" i="57" s="1"/>
  <c r="H61" i="57" s="1"/>
  <c r="B61" i="57"/>
  <c r="C61" i="57" s="1"/>
  <c r="G56" i="57"/>
  <c r="H56" i="57" s="1"/>
  <c r="B56" i="57"/>
  <c r="C56" i="57" s="1"/>
  <c r="G55" i="57"/>
  <c r="H55" i="57" s="1"/>
  <c r="B55" i="57"/>
  <c r="C55" i="57" s="1"/>
  <c r="G54" i="57"/>
  <c r="H54" i="57" s="1"/>
  <c r="B54" i="57"/>
  <c r="C54" i="57" s="1"/>
  <c r="G53" i="57"/>
  <c r="H53" i="57" s="1"/>
  <c r="B53" i="57"/>
  <c r="C53" i="57" s="1"/>
  <c r="G52" i="57"/>
  <c r="H52" i="57" s="1"/>
  <c r="B52" i="57"/>
  <c r="C52" i="57" s="1"/>
  <c r="G51" i="57"/>
  <c r="H51" i="57" s="1"/>
  <c r="B51" i="57"/>
  <c r="C51" i="57" s="1"/>
  <c r="G50" i="57"/>
  <c r="H50" i="57" s="1"/>
  <c r="B50" i="57"/>
  <c r="C50" i="57" s="1"/>
  <c r="G49" i="57"/>
  <c r="H49" i="57" s="1"/>
  <c r="B49" i="57"/>
  <c r="C49" i="57" s="1"/>
  <c r="G48" i="57"/>
  <c r="H48" i="57" s="1"/>
  <c r="B48" i="57"/>
  <c r="C48" i="57" s="1"/>
  <c r="G47" i="57"/>
  <c r="H47" i="57" s="1"/>
  <c r="B47" i="57"/>
  <c r="C47" i="57" s="1"/>
  <c r="G46" i="57"/>
  <c r="H46" i="57" s="1"/>
  <c r="B46" i="57"/>
  <c r="C46" i="57" s="1"/>
  <c r="G42" i="57"/>
  <c r="H42" i="57" s="1"/>
  <c r="B42" i="57"/>
  <c r="C42" i="57" s="1"/>
  <c r="G41" i="57"/>
  <c r="H41" i="57" s="1"/>
  <c r="B41" i="57"/>
  <c r="C41" i="57" s="1"/>
  <c r="G40" i="57"/>
  <c r="H40" i="57" s="1"/>
  <c r="B40" i="57"/>
  <c r="C40" i="57" s="1"/>
  <c r="G39" i="57"/>
  <c r="H39" i="57" s="1"/>
  <c r="B39" i="57"/>
  <c r="C39" i="57" s="1"/>
  <c r="G38" i="57"/>
  <c r="H38" i="57" s="1"/>
  <c r="B38" i="57"/>
  <c r="C38" i="57" s="1"/>
  <c r="G37" i="57"/>
  <c r="H37" i="57" s="1"/>
  <c r="B37" i="57"/>
  <c r="C37" i="57" s="1"/>
  <c r="G36" i="57"/>
  <c r="H36" i="57" s="1"/>
  <c r="B36" i="57"/>
  <c r="C36" i="57" s="1"/>
  <c r="G35" i="57"/>
  <c r="H35" i="57" s="1"/>
  <c r="B35" i="57"/>
  <c r="C35" i="57" s="1"/>
  <c r="G34" i="57"/>
  <c r="H34" i="57" s="1"/>
  <c r="B34" i="57"/>
  <c r="C34" i="57" s="1"/>
  <c r="G33" i="57"/>
  <c r="H33" i="57" s="1"/>
  <c r="B33" i="57"/>
  <c r="C33" i="57" s="1"/>
  <c r="G110" i="56"/>
  <c r="G109" i="56"/>
  <c r="G108" i="56"/>
  <c r="G107" i="56"/>
  <c r="G106" i="56"/>
  <c r="G105" i="56"/>
  <c r="G104" i="56"/>
  <c r="G103" i="56"/>
  <c r="G102" i="56"/>
  <c r="G101" i="56"/>
  <c r="I110" i="56"/>
  <c r="H110" i="56"/>
  <c r="I109" i="56"/>
  <c r="H109" i="56"/>
  <c r="F109" i="56"/>
  <c r="I108" i="56"/>
  <c r="H108" i="56"/>
  <c r="F108" i="56"/>
  <c r="I107" i="56"/>
  <c r="H107" i="56"/>
  <c r="F107" i="56"/>
  <c r="I106" i="56"/>
  <c r="H106" i="56"/>
  <c r="F106" i="56"/>
  <c r="I105" i="56"/>
  <c r="H105" i="56"/>
  <c r="F105" i="56"/>
  <c r="I104" i="56"/>
  <c r="H104" i="56"/>
  <c r="F104" i="56"/>
  <c r="I103" i="56"/>
  <c r="H103" i="56"/>
  <c r="F103" i="56"/>
  <c r="I102" i="56"/>
  <c r="H102" i="56"/>
  <c r="F102" i="56"/>
  <c r="I101" i="56"/>
  <c r="H101" i="56"/>
  <c r="F101" i="56"/>
  <c r="I100" i="56"/>
  <c r="H100" i="56"/>
  <c r="G100" i="56"/>
  <c r="F100" i="56"/>
  <c r="J97" i="56"/>
  <c r="J96" i="56"/>
  <c r="J95" i="56"/>
  <c r="J94" i="56"/>
  <c r="J93" i="56"/>
  <c r="J92" i="56"/>
  <c r="J91" i="56"/>
  <c r="J90" i="56"/>
  <c r="J89" i="56"/>
  <c r="S73" i="55"/>
  <c r="S72" i="55"/>
  <c r="S71" i="55"/>
  <c r="S70" i="55"/>
  <c r="S69" i="55"/>
  <c r="S68" i="55"/>
  <c r="S66" i="55"/>
  <c r="S65" i="55"/>
  <c r="S64" i="55"/>
  <c r="S63" i="55"/>
  <c r="S62" i="55"/>
  <c r="S60" i="55"/>
  <c r="S59" i="55"/>
  <c r="S58" i="55"/>
  <c r="S57" i="55"/>
  <c r="S56" i="55"/>
  <c r="S54" i="55"/>
  <c r="S53" i="55"/>
  <c r="S52" i="55"/>
  <c r="S50" i="55"/>
  <c r="S49" i="55"/>
  <c r="S48" i="55"/>
  <c r="S46" i="55"/>
  <c r="S45" i="55"/>
  <c r="S44" i="55"/>
  <c r="S43" i="55"/>
  <c r="S42" i="55"/>
  <c r="S40" i="55"/>
  <c r="S39" i="55"/>
  <c r="S38" i="55"/>
  <c r="S37" i="55"/>
  <c r="S36" i="55"/>
  <c r="S35" i="55"/>
  <c r="S34" i="55"/>
  <c r="S33" i="55"/>
  <c r="S32" i="55"/>
  <c r="S31" i="55"/>
  <c r="H33" i="56"/>
  <c r="H83" i="56"/>
  <c r="H82" i="56"/>
  <c r="H81" i="56"/>
  <c r="H80" i="56"/>
  <c r="H79" i="56"/>
  <c r="H78" i="56"/>
  <c r="H77" i="56"/>
  <c r="H76" i="56"/>
  <c r="H75" i="56"/>
  <c r="H74" i="56"/>
  <c r="H73" i="56"/>
  <c r="H71" i="56"/>
  <c r="H70" i="56"/>
  <c r="H69" i="56"/>
  <c r="H68" i="56"/>
  <c r="H67" i="56"/>
  <c r="H66" i="56"/>
  <c r="H65" i="56"/>
  <c r="H64" i="56"/>
  <c r="H63" i="56"/>
  <c r="H62" i="56"/>
  <c r="H61" i="56"/>
  <c r="H56" i="56"/>
  <c r="H55" i="56"/>
  <c r="H54" i="56"/>
  <c r="H53" i="56"/>
  <c r="H52" i="56"/>
  <c r="H51" i="56"/>
  <c r="H50" i="56"/>
  <c r="H49" i="56"/>
  <c r="H48" i="56"/>
  <c r="H47" i="56"/>
  <c r="H46" i="56"/>
  <c r="H42" i="56"/>
  <c r="H41" i="56"/>
  <c r="H40" i="56"/>
  <c r="H39" i="56"/>
  <c r="H38" i="56"/>
  <c r="H37" i="56"/>
  <c r="H36" i="56"/>
  <c r="H35" i="56"/>
  <c r="H34" i="56"/>
  <c r="U83" i="56"/>
  <c r="R83" i="56"/>
  <c r="F83" i="56" s="1"/>
  <c r="G83" i="56" s="1"/>
  <c r="J83" i="56"/>
  <c r="B83" i="56"/>
  <c r="C83" i="56" s="1"/>
  <c r="U82" i="56"/>
  <c r="R82" i="56"/>
  <c r="F82" i="56" s="1"/>
  <c r="G82" i="56" s="1"/>
  <c r="J82" i="56"/>
  <c r="B82" i="56"/>
  <c r="C82" i="56" s="1"/>
  <c r="U81" i="56"/>
  <c r="R81" i="56"/>
  <c r="F81" i="56" s="1"/>
  <c r="G81" i="56" s="1"/>
  <c r="J81" i="56"/>
  <c r="B81" i="56"/>
  <c r="C81" i="56" s="1"/>
  <c r="U80" i="56"/>
  <c r="R80" i="56"/>
  <c r="F80" i="56" s="1"/>
  <c r="G80" i="56" s="1"/>
  <c r="J80" i="56"/>
  <c r="B80" i="56"/>
  <c r="C80" i="56" s="1"/>
  <c r="U79" i="56"/>
  <c r="R79" i="56"/>
  <c r="F79" i="56" s="1"/>
  <c r="G79" i="56" s="1"/>
  <c r="J79" i="56"/>
  <c r="B79" i="56"/>
  <c r="C79" i="56" s="1"/>
  <c r="U78" i="56"/>
  <c r="R78" i="56"/>
  <c r="F78" i="56" s="1"/>
  <c r="G78" i="56" s="1"/>
  <c r="J78" i="56"/>
  <c r="B78" i="56"/>
  <c r="C78" i="56" s="1"/>
  <c r="U77" i="56"/>
  <c r="R77" i="56"/>
  <c r="F77" i="56" s="1"/>
  <c r="G77" i="56" s="1"/>
  <c r="J77" i="56"/>
  <c r="B77" i="56"/>
  <c r="C77" i="56" s="1"/>
  <c r="U76" i="56"/>
  <c r="R76" i="56"/>
  <c r="F76" i="56" s="1"/>
  <c r="G76" i="56" s="1"/>
  <c r="J76" i="56"/>
  <c r="B76" i="56"/>
  <c r="C76" i="56" s="1"/>
  <c r="U75" i="56"/>
  <c r="R75" i="56"/>
  <c r="F75" i="56" s="1"/>
  <c r="G75" i="56" s="1"/>
  <c r="J75" i="56"/>
  <c r="B75" i="56"/>
  <c r="C75" i="56" s="1"/>
  <c r="U74" i="56"/>
  <c r="R74" i="56"/>
  <c r="F74" i="56" s="1"/>
  <c r="G74" i="56" s="1"/>
  <c r="J74" i="56"/>
  <c r="B74" i="56"/>
  <c r="C74" i="56" s="1"/>
  <c r="U73" i="56"/>
  <c r="R73" i="56"/>
  <c r="F73" i="56" s="1"/>
  <c r="G73" i="56" s="1"/>
  <c r="J73" i="56"/>
  <c r="B73" i="56"/>
  <c r="C73" i="56" s="1"/>
  <c r="U71" i="56"/>
  <c r="R71" i="56"/>
  <c r="F71" i="56" s="1"/>
  <c r="G71" i="56" s="1"/>
  <c r="J71" i="56"/>
  <c r="B71" i="56"/>
  <c r="C71" i="56" s="1"/>
  <c r="U70" i="56"/>
  <c r="R70" i="56"/>
  <c r="F70" i="56" s="1"/>
  <c r="G70" i="56" s="1"/>
  <c r="J70" i="56"/>
  <c r="B70" i="56"/>
  <c r="C70" i="56" s="1"/>
  <c r="U69" i="56"/>
  <c r="R69" i="56"/>
  <c r="F69" i="56" s="1"/>
  <c r="G69" i="56" s="1"/>
  <c r="J69" i="56"/>
  <c r="B69" i="56"/>
  <c r="C69" i="56" s="1"/>
  <c r="U68" i="56"/>
  <c r="R68" i="56"/>
  <c r="F68" i="56" s="1"/>
  <c r="G68" i="56" s="1"/>
  <c r="J68" i="56"/>
  <c r="B68" i="56"/>
  <c r="C68" i="56" s="1"/>
  <c r="U67" i="56"/>
  <c r="R67" i="56"/>
  <c r="F67" i="56" s="1"/>
  <c r="G67" i="56" s="1"/>
  <c r="J67" i="56"/>
  <c r="B67" i="56"/>
  <c r="C67" i="56" s="1"/>
  <c r="U66" i="56"/>
  <c r="R66" i="56"/>
  <c r="F66" i="56" s="1"/>
  <c r="G66" i="56" s="1"/>
  <c r="J66" i="56"/>
  <c r="B66" i="56"/>
  <c r="C66" i="56" s="1"/>
  <c r="U65" i="56"/>
  <c r="R65" i="56"/>
  <c r="F65" i="56" s="1"/>
  <c r="G65" i="56" s="1"/>
  <c r="J65" i="56"/>
  <c r="B65" i="56"/>
  <c r="C65" i="56" s="1"/>
  <c r="U64" i="56"/>
  <c r="R64" i="56"/>
  <c r="F64" i="56" s="1"/>
  <c r="G64" i="56" s="1"/>
  <c r="J64" i="56"/>
  <c r="B64" i="56"/>
  <c r="C64" i="56" s="1"/>
  <c r="U63" i="56"/>
  <c r="R63" i="56"/>
  <c r="F63" i="56" s="1"/>
  <c r="G63" i="56" s="1"/>
  <c r="J63" i="56"/>
  <c r="B63" i="56"/>
  <c r="C63" i="56" s="1"/>
  <c r="U62" i="56"/>
  <c r="R62" i="56"/>
  <c r="F62" i="56" s="1"/>
  <c r="G62" i="56" s="1"/>
  <c r="J62" i="56"/>
  <c r="B62" i="56"/>
  <c r="C62" i="56" s="1"/>
  <c r="U61" i="56"/>
  <c r="R61" i="56"/>
  <c r="F61" i="56"/>
  <c r="G61" i="56" s="1"/>
  <c r="J61" i="56"/>
  <c r="B61" i="56"/>
  <c r="C61" i="56" s="1"/>
  <c r="G56" i="56"/>
  <c r="B56" i="56" s="1"/>
  <c r="C56" i="56" s="1"/>
  <c r="G55" i="56"/>
  <c r="B55" i="56" s="1"/>
  <c r="C55" i="56" s="1"/>
  <c r="G54" i="56"/>
  <c r="B54" i="56" s="1"/>
  <c r="C54" i="56" s="1"/>
  <c r="G53" i="56"/>
  <c r="B53" i="56" s="1"/>
  <c r="C53" i="56" s="1"/>
  <c r="G52" i="56"/>
  <c r="B52" i="56" s="1"/>
  <c r="C52" i="56" s="1"/>
  <c r="G51" i="56"/>
  <c r="B51" i="56" s="1"/>
  <c r="C51" i="56" s="1"/>
  <c r="G50" i="56"/>
  <c r="B50" i="56" s="1"/>
  <c r="C50" i="56" s="1"/>
  <c r="G49" i="56"/>
  <c r="B49" i="56" s="1"/>
  <c r="C49" i="56" s="1"/>
  <c r="G48" i="56"/>
  <c r="B48" i="56" s="1"/>
  <c r="C48" i="56" s="1"/>
  <c r="G47" i="56"/>
  <c r="B47" i="56" s="1"/>
  <c r="C47" i="56" s="1"/>
  <c r="G46" i="56"/>
  <c r="B46" i="56" s="1"/>
  <c r="C46" i="56" s="1"/>
  <c r="G42" i="56"/>
  <c r="B42" i="56" s="1"/>
  <c r="C42" i="56" s="1"/>
  <c r="G41" i="56"/>
  <c r="B41" i="56" s="1"/>
  <c r="C41" i="56" s="1"/>
  <c r="G40" i="56"/>
  <c r="B40" i="56" s="1"/>
  <c r="C40" i="56" s="1"/>
  <c r="G39" i="56"/>
  <c r="B39" i="56" s="1"/>
  <c r="C39" i="56" s="1"/>
  <c r="G38" i="56"/>
  <c r="B38" i="56" s="1"/>
  <c r="C38" i="56" s="1"/>
  <c r="G37" i="56"/>
  <c r="B37" i="56" s="1"/>
  <c r="C37" i="56" s="1"/>
  <c r="G36" i="56"/>
  <c r="B36" i="56" s="1"/>
  <c r="C36" i="56" s="1"/>
  <c r="G35" i="56"/>
  <c r="B35" i="56" s="1"/>
  <c r="C35" i="56" s="1"/>
  <c r="G34" i="56"/>
  <c r="B34" i="56" s="1"/>
  <c r="C34" i="56" s="1"/>
  <c r="G33" i="56"/>
  <c r="B33" i="56" s="1"/>
  <c r="C33" i="56" s="1"/>
  <c r="F30" i="13"/>
  <c r="F31" i="13"/>
  <c r="F32" i="13"/>
  <c r="E92" i="55"/>
  <c r="F92" i="55" s="1"/>
  <c r="H92" i="55" s="1"/>
  <c r="E91" i="55"/>
  <c r="F91" i="55" s="1"/>
  <c r="H91" i="55" s="1"/>
  <c r="E90" i="55"/>
  <c r="F90" i="55" s="1"/>
  <c r="H90" i="55" s="1"/>
  <c r="E88" i="55"/>
  <c r="F88" i="55" s="1"/>
  <c r="H88" i="55" s="1"/>
  <c r="E87" i="55"/>
  <c r="F87" i="55" s="1"/>
  <c r="H87" i="55" s="1"/>
  <c r="E86" i="55"/>
  <c r="F86" i="55" s="1"/>
  <c r="H86" i="55" s="1"/>
  <c r="G83" i="55"/>
  <c r="G82" i="55"/>
  <c r="G81" i="55"/>
  <c r="G78" i="55"/>
  <c r="H78" i="55" s="1"/>
  <c r="E73" i="55"/>
  <c r="H73" i="55"/>
  <c r="T73" i="55"/>
  <c r="N73" i="55"/>
  <c r="L73" i="55"/>
  <c r="F73" i="55" s="1"/>
  <c r="K73" i="55"/>
  <c r="M73" i="55" s="1"/>
  <c r="Q73" i="55" s="1"/>
  <c r="H72" i="55"/>
  <c r="T72" i="55"/>
  <c r="N72" i="55"/>
  <c r="L72" i="55"/>
  <c r="F72" i="55" s="1"/>
  <c r="K72" i="55"/>
  <c r="M72" i="55" s="1"/>
  <c r="Q72" i="55" s="1"/>
  <c r="E71" i="55"/>
  <c r="T71" i="55"/>
  <c r="N71" i="55"/>
  <c r="L71" i="55"/>
  <c r="F71" i="55" s="1"/>
  <c r="K71" i="55"/>
  <c r="M71" i="55" s="1"/>
  <c r="Q71" i="55" s="1"/>
  <c r="T70" i="55"/>
  <c r="N70" i="55"/>
  <c r="L70" i="55"/>
  <c r="F70" i="55" s="1"/>
  <c r="K70" i="55"/>
  <c r="M70" i="55" s="1"/>
  <c r="Q70" i="55" s="1"/>
  <c r="E69" i="55"/>
  <c r="T69" i="55"/>
  <c r="N69" i="55"/>
  <c r="L69" i="55"/>
  <c r="F69" i="55" s="1"/>
  <c r="K69" i="55"/>
  <c r="M69" i="55" s="1"/>
  <c r="Q69" i="55" s="1"/>
  <c r="T68" i="55"/>
  <c r="N68" i="55"/>
  <c r="L68" i="55"/>
  <c r="F68" i="55" s="1"/>
  <c r="K68" i="55"/>
  <c r="M68" i="55" s="1"/>
  <c r="Q68" i="55" s="1"/>
  <c r="T66" i="55"/>
  <c r="N66" i="55"/>
  <c r="L66" i="55"/>
  <c r="F66" i="55" s="1"/>
  <c r="K66" i="55"/>
  <c r="M66" i="55" s="1"/>
  <c r="Q66" i="55" s="1"/>
  <c r="T65" i="55"/>
  <c r="N65" i="55"/>
  <c r="L65" i="55"/>
  <c r="F65" i="55" s="1"/>
  <c r="K65" i="55"/>
  <c r="M65" i="55" s="1"/>
  <c r="Q65" i="55" s="1"/>
  <c r="T64" i="55"/>
  <c r="N64" i="55"/>
  <c r="F64" i="55"/>
  <c r="K64" i="55"/>
  <c r="M64" i="55" s="1"/>
  <c r="Q64" i="55" s="1"/>
  <c r="T63" i="55"/>
  <c r="N63" i="55"/>
  <c r="F63" i="55"/>
  <c r="K63" i="55"/>
  <c r="M63" i="55" s="1"/>
  <c r="Q63" i="55" s="1"/>
  <c r="T62" i="55"/>
  <c r="N62" i="55"/>
  <c r="K62" i="55"/>
  <c r="M62" i="55" s="1"/>
  <c r="Q62" i="55" s="1"/>
  <c r="T60" i="55"/>
  <c r="N60" i="55"/>
  <c r="L60" i="55"/>
  <c r="F60" i="55" s="1"/>
  <c r="K60" i="55"/>
  <c r="M60" i="55" s="1"/>
  <c r="Q60" i="55" s="1"/>
  <c r="T59" i="55"/>
  <c r="N59" i="55"/>
  <c r="L59" i="55"/>
  <c r="F59" i="55" s="1"/>
  <c r="K59" i="55"/>
  <c r="M59" i="55" s="1"/>
  <c r="Q59" i="55" s="1"/>
  <c r="T58" i="55"/>
  <c r="N58" i="55"/>
  <c r="F58" i="55"/>
  <c r="K58" i="55"/>
  <c r="M58" i="55" s="1"/>
  <c r="Q58" i="55" s="1"/>
  <c r="T57" i="55"/>
  <c r="N57" i="55"/>
  <c r="F57" i="55"/>
  <c r="K57" i="55"/>
  <c r="M57" i="55" s="1"/>
  <c r="Q57" i="55" s="1"/>
  <c r="T56" i="55"/>
  <c r="N56" i="55"/>
  <c r="F56" i="55"/>
  <c r="K56" i="55"/>
  <c r="M56" i="55" s="1"/>
  <c r="Q56" i="55" s="1"/>
  <c r="T54" i="55"/>
  <c r="O54" i="55"/>
  <c r="N54" i="55"/>
  <c r="L54" i="55"/>
  <c r="F54" i="55" s="1"/>
  <c r="K54" i="55"/>
  <c r="M54" i="55" s="1"/>
  <c r="T53" i="55"/>
  <c r="O53" i="55"/>
  <c r="N53" i="55"/>
  <c r="F53" i="55"/>
  <c r="K53" i="55"/>
  <c r="M53" i="55" s="1"/>
  <c r="T52" i="55"/>
  <c r="O52" i="55"/>
  <c r="N52" i="55"/>
  <c r="F52" i="55"/>
  <c r="K52" i="55"/>
  <c r="M52" i="55" s="1"/>
  <c r="T50" i="55"/>
  <c r="O50" i="55"/>
  <c r="N50" i="55"/>
  <c r="L50" i="55"/>
  <c r="F50" i="55" s="1"/>
  <c r="K50" i="55"/>
  <c r="M50" i="55" s="1"/>
  <c r="T49" i="55"/>
  <c r="O49" i="55"/>
  <c r="N49" i="55"/>
  <c r="F49" i="55"/>
  <c r="K49" i="55"/>
  <c r="M49" i="55" s="1"/>
  <c r="T48" i="55"/>
  <c r="O48" i="55"/>
  <c r="N48" i="55"/>
  <c r="F48" i="55"/>
  <c r="K48" i="55"/>
  <c r="M48" i="55" s="1"/>
  <c r="T46" i="55"/>
  <c r="O46" i="55"/>
  <c r="N46" i="55"/>
  <c r="F46" i="55"/>
  <c r="K46" i="55"/>
  <c r="M46" i="55" s="1"/>
  <c r="T45" i="55"/>
  <c r="O45" i="55"/>
  <c r="N45" i="55"/>
  <c r="F45" i="55"/>
  <c r="K45" i="55"/>
  <c r="M45" i="55" s="1"/>
  <c r="T44" i="55"/>
  <c r="O44" i="55"/>
  <c r="N44" i="55"/>
  <c r="F44" i="55"/>
  <c r="K44" i="55"/>
  <c r="M44" i="55" s="1"/>
  <c r="T43" i="55"/>
  <c r="O43" i="55"/>
  <c r="N43" i="55"/>
  <c r="F43" i="55"/>
  <c r="K43" i="55"/>
  <c r="M43" i="55" s="1"/>
  <c r="T42" i="55"/>
  <c r="O42" i="55"/>
  <c r="N42" i="55"/>
  <c r="F42" i="55"/>
  <c r="K42" i="55"/>
  <c r="M42" i="55" s="1"/>
  <c r="T40" i="55"/>
  <c r="O40" i="55"/>
  <c r="N40" i="55"/>
  <c r="F40" i="55"/>
  <c r="K40" i="55"/>
  <c r="M40" i="55" s="1"/>
  <c r="T39" i="55"/>
  <c r="O39" i="55"/>
  <c r="N39" i="55"/>
  <c r="F39" i="55"/>
  <c r="K39" i="55"/>
  <c r="M39" i="55" s="1"/>
  <c r="T38" i="55"/>
  <c r="N38" i="55"/>
  <c r="F38" i="55"/>
  <c r="K38" i="55"/>
  <c r="M38" i="55" s="1"/>
  <c r="Q38" i="55" s="1"/>
  <c r="T37" i="55"/>
  <c r="N37" i="55"/>
  <c r="F37" i="55"/>
  <c r="K37" i="55"/>
  <c r="M37" i="55" s="1"/>
  <c r="Q37" i="55" s="1"/>
  <c r="T36" i="55"/>
  <c r="N36" i="55"/>
  <c r="F36" i="55"/>
  <c r="K36" i="55"/>
  <c r="M36" i="55" s="1"/>
  <c r="Q36" i="55" s="1"/>
  <c r="T35" i="55"/>
  <c r="N35" i="55"/>
  <c r="F35" i="55"/>
  <c r="K35" i="55"/>
  <c r="M35" i="55" s="1"/>
  <c r="Q35" i="55" s="1"/>
  <c r="T34" i="55"/>
  <c r="N34" i="55"/>
  <c r="F34" i="55"/>
  <c r="K34" i="55"/>
  <c r="M34" i="55" s="1"/>
  <c r="Q34" i="55" s="1"/>
  <c r="T33" i="55"/>
  <c r="O33" i="55"/>
  <c r="N33" i="55"/>
  <c r="F33" i="55"/>
  <c r="K33" i="55"/>
  <c r="M33" i="55" s="1"/>
  <c r="T32" i="55"/>
  <c r="O32" i="55"/>
  <c r="N32" i="55"/>
  <c r="F32" i="55"/>
  <c r="K32" i="55"/>
  <c r="M32" i="55" s="1"/>
  <c r="T31" i="55"/>
  <c r="O31" i="55"/>
  <c r="N31" i="55"/>
  <c r="F31" i="55"/>
  <c r="K31" i="55"/>
  <c r="M31" i="55" s="1"/>
  <c r="B11" i="54"/>
  <c r="A11" i="54"/>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48" i="54" s="1"/>
  <c r="A49" i="54" s="1"/>
  <c r="A50" i="54" s="1"/>
  <c r="A51" i="54" s="1"/>
  <c r="A52" i="54" s="1"/>
  <c r="A53" i="54" s="1"/>
  <c r="A54" i="54" s="1"/>
  <c r="A55" i="54" s="1"/>
  <c r="C10" i="54"/>
  <c r="O46" i="13" l="1"/>
  <c r="C46" i="13"/>
  <c r="I46" i="13"/>
  <c r="G46" i="13"/>
  <c r="F46" i="13"/>
  <c r="N46" i="13" s="1"/>
  <c r="E46" i="13"/>
  <c r="T46" i="13"/>
  <c r="U46" i="13" s="1"/>
  <c r="S46" i="13"/>
  <c r="Q46" i="13"/>
  <c r="I86" i="13"/>
  <c r="G86" i="13"/>
  <c r="F86" i="13"/>
  <c r="O47" i="13"/>
  <c r="C47" i="13"/>
  <c r="I47" i="13"/>
  <c r="G47" i="13"/>
  <c r="F47" i="13"/>
  <c r="N47" i="13" s="1"/>
  <c r="T47" i="13"/>
  <c r="U47" i="13" s="1"/>
  <c r="S47" i="13"/>
  <c r="N48" i="13"/>
  <c r="O48" i="13"/>
  <c r="S86" i="13"/>
  <c r="O86" i="13"/>
  <c r="S85" i="13"/>
  <c r="O85" i="13"/>
  <c r="O45" i="13"/>
  <c r="T45" i="13"/>
  <c r="U45" i="13" s="1"/>
  <c r="S45" i="13"/>
  <c r="N45" i="13"/>
  <c r="O83" i="13"/>
  <c r="N83" i="13"/>
  <c r="S83" i="13"/>
  <c r="Q83" i="13"/>
  <c r="O82" i="13"/>
  <c r="N82" i="13"/>
  <c r="S82" i="13"/>
  <c r="Q82" i="13"/>
  <c r="O43" i="13"/>
  <c r="N43" i="13"/>
  <c r="T43" i="13"/>
  <c r="U43" i="13" s="1"/>
  <c r="S43" i="13"/>
  <c r="O42" i="13"/>
  <c r="N42" i="13"/>
  <c r="T42" i="13"/>
  <c r="U42" i="13" s="1"/>
  <c r="S42" i="13"/>
  <c r="O84" i="13"/>
  <c r="S84" i="13"/>
  <c r="Q84" i="13"/>
  <c r="N84" i="13"/>
  <c r="O81" i="13"/>
  <c r="C81" i="13"/>
  <c r="S81" i="13"/>
  <c r="Q81" i="13"/>
  <c r="N81" i="13"/>
  <c r="Q31" i="58"/>
  <c r="R31" i="58" s="1"/>
  <c r="S31" i="58" s="1"/>
  <c r="B31" i="58" s="1"/>
  <c r="C31" i="58" s="1"/>
  <c r="Q32" i="58"/>
  <c r="R32" i="58" s="1"/>
  <c r="S32" i="58" s="1"/>
  <c r="B32" i="58" s="1"/>
  <c r="C32" i="58" s="1"/>
  <c r="Q33" i="58"/>
  <c r="R33" i="58" s="1"/>
  <c r="S33" i="58" s="1"/>
  <c r="B33" i="58" s="1"/>
  <c r="C33" i="58" s="1"/>
  <c r="Q39" i="58"/>
  <c r="R39" i="58" s="1"/>
  <c r="S39" i="58" s="1"/>
  <c r="B39" i="58" s="1"/>
  <c r="C39" i="58" s="1"/>
  <c r="Q40" i="58"/>
  <c r="R40" i="58" s="1"/>
  <c r="S40" i="58" s="1"/>
  <c r="B40" i="58" s="1"/>
  <c r="C40" i="58" s="1"/>
  <c r="Q42" i="58"/>
  <c r="R42" i="58" s="1"/>
  <c r="S42" i="58" s="1"/>
  <c r="B42" i="58" s="1"/>
  <c r="C42" i="58" s="1"/>
  <c r="Q43" i="58"/>
  <c r="R43" i="58" s="1"/>
  <c r="S43" i="58" s="1"/>
  <c r="B43" i="58" s="1"/>
  <c r="C43" i="58" s="1"/>
  <c r="Q44" i="58"/>
  <c r="R44" i="58" s="1"/>
  <c r="S44" i="58" s="1"/>
  <c r="B44" i="58" s="1"/>
  <c r="C44" i="58" s="1"/>
  <c r="Q45" i="58"/>
  <c r="R45" i="58" s="1"/>
  <c r="S45" i="58" s="1"/>
  <c r="B45" i="58" s="1"/>
  <c r="C45" i="58" s="1"/>
  <c r="Q46" i="58"/>
  <c r="R46" i="58" s="1"/>
  <c r="S46" i="58" s="1"/>
  <c r="B46" i="58" s="1"/>
  <c r="C46" i="58" s="1"/>
  <c r="Q48" i="58"/>
  <c r="R48" i="58" s="1"/>
  <c r="S48" i="58" s="1"/>
  <c r="B48" i="58" s="1"/>
  <c r="C48" i="58" s="1"/>
  <c r="Q49" i="58"/>
  <c r="R49" i="58" s="1"/>
  <c r="S49" i="58" s="1"/>
  <c r="B49" i="58" s="1"/>
  <c r="C49" i="58" s="1"/>
  <c r="Q50" i="58"/>
  <c r="R50" i="58" s="1"/>
  <c r="S50" i="58" s="1"/>
  <c r="B50" i="58" s="1"/>
  <c r="C50" i="58" s="1"/>
  <c r="Q52" i="58"/>
  <c r="R52" i="58" s="1"/>
  <c r="S52" i="58" s="1"/>
  <c r="B52" i="58" s="1"/>
  <c r="C52" i="58" s="1"/>
  <c r="Q53" i="58"/>
  <c r="R53" i="58" s="1"/>
  <c r="S53" i="58" s="1"/>
  <c r="B53" i="58" s="1"/>
  <c r="C53" i="58" s="1"/>
  <c r="Q54" i="58"/>
  <c r="R54" i="58" s="1"/>
  <c r="S54" i="58" s="1"/>
  <c r="B54" i="58" s="1"/>
  <c r="C54" i="58" s="1"/>
  <c r="Q69" i="58"/>
  <c r="R69" i="58" s="1"/>
  <c r="S69" i="58" s="1"/>
  <c r="B69" i="58" s="1"/>
  <c r="C69" i="58" s="1"/>
  <c r="Q71" i="58"/>
  <c r="R71" i="58" s="1"/>
  <c r="S71" i="58" s="1"/>
  <c r="B71" i="58" s="1"/>
  <c r="C71" i="58" s="1"/>
  <c r="Q72" i="58"/>
  <c r="R72" i="58" s="1"/>
  <c r="S72" i="58" s="1"/>
  <c r="B72" i="58" s="1"/>
  <c r="C72" i="58" s="1"/>
  <c r="T73" i="58"/>
  <c r="N73" i="58" s="1"/>
  <c r="Q73" i="58"/>
  <c r="Q31" i="55"/>
  <c r="Q32" i="55"/>
  <c r="Q33" i="55"/>
  <c r="R34" i="55"/>
  <c r="B34" i="55" s="1"/>
  <c r="C34" i="55" s="1"/>
  <c r="R35" i="55"/>
  <c r="B35" i="55" s="1"/>
  <c r="C35" i="55" s="1"/>
  <c r="R36" i="55"/>
  <c r="B36" i="55" s="1"/>
  <c r="C36" i="55" s="1"/>
  <c r="R37" i="55"/>
  <c r="B37" i="55" s="1"/>
  <c r="C37" i="55" s="1"/>
  <c r="R38" i="55"/>
  <c r="B38" i="55" s="1"/>
  <c r="C38" i="55" s="1"/>
  <c r="Q39" i="55"/>
  <c r="Q40" i="55"/>
  <c r="Q42" i="55"/>
  <c r="Q43" i="55"/>
  <c r="Q44" i="55"/>
  <c r="Q45" i="55"/>
  <c r="Q46" i="55"/>
  <c r="Q48" i="55"/>
  <c r="Q49" i="55"/>
  <c r="Q50" i="55"/>
  <c r="Q52" i="55"/>
  <c r="Q53" i="55"/>
  <c r="Q54" i="55"/>
  <c r="R56" i="55"/>
  <c r="B56" i="55" s="1"/>
  <c r="C56" i="55" s="1"/>
  <c r="R57" i="55"/>
  <c r="B57" i="55" s="1"/>
  <c r="C57" i="55" s="1"/>
  <c r="R58" i="55"/>
  <c r="B58" i="55" s="1"/>
  <c r="C58" i="55" s="1"/>
  <c r="R59" i="55"/>
  <c r="B59" i="55" s="1"/>
  <c r="C59" i="55" s="1"/>
  <c r="R60" i="55"/>
  <c r="B60" i="55" s="1"/>
  <c r="C60" i="55" s="1"/>
  <c r="R62" i="55"/>
  <c r="B62" i="55" s="1"/>
  <c r="C62" i="55" s="1"/>
  <c r="R63" i="55"/>
  <c r="B63" i="55" s="1"/>
  <c r="C63" i="55" s="1"/>
  <c r="R64" i="55"/>
  <c r="B64" i="55" s="1"/>
  <c r="C64" i="55" s="1"/>
  <c r="R65" i="55"/>
  <c r="B65" i="55" s="1"/>
  <c r="C65" i="55" s="1"/>
  <c r="R66" i="55"/>
  <c r="B66" i="55" s="1"/>
  <c r="C66" i="55" s="1"/>
  <c r="R68" i="55"/>
  <c r="B68" i="55" s="1"/>
  <c r="C68" i="55" s="1"/>
  <c r="R69" i="55"/>
  <c r="B69" i="55" s="1"/>
  <c r="C69" i="55" s="1"/>
  <c r="R70" i="55"/>
  <c r="B70" i="55" s="1"/>
  <c r="C70" i="55" s="1"/>
  <c r="R71" i="55"/>
  <c r="B71" i="55" s="1"/>
  <c r="C71" i="55" s="1"/>
  <c r="R72" i="55"/>
  <c r="B72" i="55" s="1"/>
  <c r="C72" i="55" s="1"/>
  <c r="Q75" i="55"/>
  <c r="R74" i="55"/>
  <c r="Q74" i="55"/>
  <c r="R73" i="55"/>
  <c r="B73" i="55" s="1"/>
  <c r="C73" i="55" s="1"/>
  <c r="O80" i="13"/>
  <c r="C80" i="13"/>
  <c r="N80" i="13"/>
  <c r="S80" i="13"/>
  <c r="Q80" i="13"/>
  <c r="O79" i="13"/>
  <c r="C79" i="13"/>
  <c r="N79" i="13"/>
  <c r="S79" i="13"/>
  <c r="Q79" i="13"/>
  <c r="B12" i="54"/>
  <c r="C11" i="54"/>
  <c r="J46" i="13" l="1"/>
  <c r="H46" i="13"/>
  <c r="J47" i="13"/>
  <c r="H47" i="13"/>
  <c r="Q86" i="13"/>
  <c r="N86" i="13"/>
  <c r="J86" i="13"/>
  <c r="H86" i="13"/>
  <c r="Q85" i="13"/>
  <c r="N85" i="13"/>
  <c r="J85" i="13"/>
  <c r="H85" i="13"/>
  <c r="J45" i="13"/>
  <c r="H45" i="13"/>
  <c r="J83" i="13"/>
  <c r="H83" i="13"/>
  <c r="J82" i="13"/>
  <c r="H82" i="13"/>
  <c r="J43" i="13"/>
  <c r="H43" i="13"/>
  <c r="J42" i="13"/>
  <c r="H42" i="13"/>
  <c r="J84" i="13"/>
  <c r="H84" i="13"/>
  <c r="J81" i="13"/>
  <c r="H81" i="13"/>
  <c r="Q75" i="58"/>
  <c r="R74" i="58"/>
  <c r="Q74" i="58"/>
  <c r="R73" i="58"/>
  <c r="S73" i="58" s="1"/>
  <c r="B73" i="58" s="1"/>
  <c r="C73" i="58" s="1"/>
  <c r="R54" i="55"/>
  <c r="B54" i="55" s="1"/>
  <c r="C54" i="55" s="1"/>
  <c r="R53" i="55"/>
  <c r="B53" i="55" s="1"/>
  <c r="C53" i="55" s="1"/>
  <c r="R52" i="55"/>
  <c r="B52" i="55" s="1"/>
  <c r="C52" i="55" s="1"/>
  <c r="R50" i="55"/>
  <c r="B50" i="55" s="1"/>
  <c r="C50" i="55" s="1"/>
  <c r="R49" i="55"/>
  <c r="B49" i="55" s="1"/>
  <c r="C49" i="55" s="1"/>
  <c r="R48" i="55"/>
  <c r="B48" i="55" s="1"/>
  <c r="C48" i="55" s="1"/>
  <c r="R46" i="55"/>
  <c r="B46" i="55" s="1"/>
  <c r="C46" i="55" s="1"/>
  <c r="R45" i="55"/>
  <c r="B45" i="55" s="1"/>
  <c r="C45" i="55" s="1"/>
  <c r="R44" i="55"/>
  <c r="B44" i="55" s="1"/>
  <c r="C44" i="55" s="1"/>
  <c r="R43" i="55"/>
  <c r="B43" i="55" s="1"/>
  <c r="C43" i="55" s="1"/>
  <c r="R42" i="55"/>
  <c r="B42" i="55" s="1"/>
  <c r="C42" i="55" s="1"/>
  <c r="R40" i="55"/>
  <c r="B40" i="55" s="1"/>
  <c r="C40" i="55" s="1"/>
  <c r="R39" i="55"/>
  <c r="B39" i="55" s="1"/>
  <c r="C39" i="55" s="1"/>
  <c r="R33" i="55"/>
  <c r="B33" i="55" s="1"/>
  <c r="C33" i="55" s="1"/>
  <c r="R32" i="55"/>
  <c r="B32" i="55" s="1"/>
  <c r="C32" i="55" s="1"/>
  <c r="R31" i="55"/>
  <c r="B31" i="55" s="1"/>
  <c r="C31" i="55" s="1"/>
  <c r="J80" i="13"/>
  <c r="H80" i="13"/>
  <c r="J79" i="13"/>
  <c r="H79" i="13"/>
  <c r="B13" i="54"/>
  <c r="C12" i="54"/>
  <c r="B14" i="54" l="1"/>
  <c r="C13" i="54"/>
  <c r="B15" i="54" l="1"/>
  <c r="C14" i="54"/>
  <c r="B16" i="54" l="1"/>
  <c r="C15" i="54"/>
  <c r="B17" i="54" l="1"/>
  <c r="C16" i="54"/>
  <c r="B18" i="54" l="1"/>
  <c r="C17" i="54"/>
  <c r="B19" i="54" l="1"/>
  <c r="C18" i="54"/>
  <c r="B20" i="54" l="1"/>
  <c r="C19" i="54"/>
  <c r="B21" i="54" l="1"/>
  <c r="C20" i="54"/>
  <c r="B22" i="54" l="1"/>
  <c r="C21" i="54"/>
  <c r="B23" i="54" l="1"/>
  <c r="C22" i="54"/>
  <c r="B24" i="54" l="1"/>
  <c r="C23" i="54"/>
  <c r="B25" i="54" l="1"/>
  <c r="C24" i="54"/>
  <c r="B26" i="54" l="1"/>
  <c r="C25" i="54"/>
  <c r="B27" i="54" l="1"/>
  <c r="C26" i="54"/>
  <c r="B28" i="54" l="1"/>
  <c r="C27" i="54"/>
  <c r="B29" i="54" l="1"/>
  <c r="C28" i="54"/>
  <c r="B30" i="54" l="1"/>
  <c r="C29" i="54"/>
  <c r="B31" i="54" l="1"/>
  <c r="C30" i="54"/>
  <c r="B32" i="54" l="1"/>
  <c r="C31" i="54"/>
  <c r="B33" i="54" l="1"/>
  <c r="C32" i="54"/>
  <c r="B34" i="54" l="1"/>
  <c r="C33" i="54"/>
  <c r="B35" i="54" l="1"/>
  <c r="C34" i="54"/>
  <c r="B36" i="54" l="1"/>
  <c r="C35" i="54"/>
  <c r="B37" i="54" l="1"/>
  <c r="C36" i="54"/>
  <c r="B38" i="54" l="1"/>
  <c r="C37" i="54"/>
  <c r="B39" i="54" l="1"/>
  <c r="C38" i="54"/>
  <c r="B40" i="54" l="1"/>
  <c r="C39" i="54"/>
  <c r="B41" i="54" l="1"/>
  <c r="C40" i="54"/>
  <c r="B42" i="54" l="1"/>
  <c r="C41" i="54"/>
  <c r="B43" i="54" l="1"/>
  <c r="C42" i="54"/>
  <c r="B44" i="54" l="1"/>
  <c r="C43" i="54"/>
  <c r="B45" i="54" l="1"/>
  <c r="C44" i="54"/>
  <c r="B46" i="54" l="1"/>
  <c r="C45" i="54"/>
  <c r="B47" i="54" l="1"/>
  <c r="C46" i="54"/>
  <c r="B48" i="54" l="1"/>
  <c r="C47" i="54"/>
  <c r="B49" i="54" l="1"/>
  <c r="C48" i="54"/>
  <c r="B50" i="54" l="1"/>
  <c r="C49" i="54"/>
  <c r="B51" i="54" l="1"/>
  <c r="C50" i="54"/>
  <c r="B52" i="54" l="1"/>
  <c r="C51" i="54"/>
  <c r="B53" i="54" l="1"/>
  <c r="C52" i="54"/>
  <c r="B54" i="54" l="1"/>
  <c r="C53" i="54"/>
  <c r="B55" i="54" l="1"/>
  <c r="C55" i="54" s="1"/>
  <c r="C54" i="54"/>
  <c r="D36" i="13" l="1"/>
  <c r="F36" i="13" s="1"/>
  <c r="D32" i="51"/>
  <c r="B30" i="51"/>
  <c r="B27" i="51"/>
  <c r="B32" i="51" s="1"/>
  <c r="C13" i="51"/>
  <c r="C14" i="51" s="1"/>
  <c r="C16" i="51" s="1"/>
  <c r="C17" i="51" s="1"/>
  <c r="B13" i="51"/>
  <c r="B14" i="51" s="1"/>
  <c r="B16" i="51" s="1"/>
  <c r="B17" i="51" s="1"/>
  <c r="B5" i="51"/>
  <c r="B4" i="51"/>
  <c r="B6" i="51" s="1"/>
  <c r="B8" i="51" s="1"/>
  <c r="F7" i="52"/>
  <c r="B7" i="52"/>
  <c r="C7" i="52" s="1"/>
  <c r="G7" i="52" s="1"/>
  <c r="F6" i="52"/>
  <c r="B6" i="52"/>
  <c r="C6" i="52" s="1"/>
  <c r="G6" i="52" s="1"/>
  <c r="F5" i="52"/>
  <c r="B5" i="52"/>
  <c r="C5" i="52" s="1"/>
  <c r="G5" i="52" s="1"/>
  <c r="D57" i="50"/>
  <c r="D121" i="50"/>
  <c r="D120" i="50"/>
  <c r="D119" i="50"/>
  <c r="B119" i="50"/>
  <c r="D118" i="50"/>
  <c r="B118" i="50"/>
  <c r="D117" i="50"/>
  <c r="B117" i="50"/>
  <c r="K116" i="50"/>
  <c r="J116" i="50"/>
  <c r="J120" i="50" s="1"/>
  <c r="I116" i="50"/>
  <c r="I121" i="50" s="1"/>
  <c r="H116" i="50"/>
  <c r="H120" i="50" s="1"/>
  <c r="G116" i="50"/>
  <c r="G121" i="50" s="1"/>
  <c r="F116" i="50"/>
  <c r="D111" i="50"/>
  <c r="D110" i="50"/>
  <c r="D109" i="50"/>
  <c r="D108" i="50"/>
  <c r="D107" i="50"/>
  <c r="K106" i="50"/>
  <c r="K111" i="50" s="1"/>
  <c r="J106" i="50"/>
  <c r="I106" i="50"/>
  <c r="I111" i="50" s="1"/>
  <c r="H106" i="50"/>
  <c r="G106" i="50"/>
  <c r="G111" i="50" s="1"/>
  <c r="F106" i="50"/>
  <c r="F107" i="50" s="1"/>
  <c r="D101" i="50"/>
  <c r="D100" i="50"/>
  <c r="D99" i="50"/>
  <c r="B99" i="50"/>
  <c r="D98" i="50"/>
  <c r="B98" i="50"/>
  <c r="D97" i="50"/>
  <c r="B97" i="50"/>
  <c r="K96" i="50"/>
  <c r="J96" i="50"/>
  <c r="J100" i="50" s="1"/>
  <c r="I96" i="50"/>
  <c r="I101" i="50" s="1"/>
  <c r="H96" i="50"/>
  <c r="H100" i="50" s="1"/>
  <c r="G96" i="50"/>
  <c r="G101" i="50" s="1"/>
  <c r="F96" i="50"/>
  <c r="D91" i="50"/>
  <c r="D90" i="50"/>
  <c r="D89" i="50"/>
  <c r="D88" i="50"/>
  <c r="D87" i="50"/>
  <c r="K86" i="50"/>
  <c r="J86" i="50"/>
  <c r="I86" i="50"/>
  <c r="H86" i="50"/>
  <c r="G86" i="50"/>
  <c r="F86" i="50"/>
  <c r="D81" i="50"/>
  <c r="D80" i="50"/>
  <c r="D79" i="50"/>
  <c r="B79" i="50"/>
  <c r="D78" i="50"/>
  <c r="B78" i="50"/>
  <c r="D77" i="50"/>
  <c r="B77" i="50"/>
  <c r="K76" i="50"/>
  <c r="J76" i="50"/>
  <c r="I76" i="50"/>
  <c r="I81" i="50" s="1"/>
  <c r="H76" i="50"/>
  <c r="G76" i="50"/>
  <c r="G81" i="50" s="1"/>
  <c r="F76" i="50"/>
  <c r="D71" i="50"/>
  <c r="D70" i="50"/>
  <c r="D69" i="50"/>
  <c r="D68" i="50"/>
  <c r="D67" i="50"/>
  <c r="K66" i="50"/>
  <c r="K70" i="50" s="1"/>
  <c r="J66" i="50"/>
  <c r="J71" i="50" s="1"/>
  <c r="I66" i="50"/>
  <c r="I70" i="50" s="1"/>
  <c r="H66" i="50"/>
  <c r="H71" i="50" s="1"/>
  <c r="G66" i="50"/>
  <c r="G70" i="50" s="1"/>
  <c r="F66" i="50"/>
  <c r="F71" i="50" s="1"/>
  <c r="B59" i="50"/>
  <c r="D58" i="50"/>
  <c r="D59" i="50"/>
  <c r="D60" i="50"/>
  <c r="D61" i="50"/>
  <c r="G30" i="50"/>
  <c r="F30" i="50"/>
  <c r="C30" i="50" s="1"/>
  <c r="G29" i="50"/>
  <c r="F29" i="50"/>
  <c r="D29" i="50" s="1"/>
  <c r="G28" i="50"/>
  <c r="F28" i="50"/>
  <c r="C28" i="50" s="1"/>
  <c r="G27" i="50"/>
  <c r="F27" i="50"/>
  <c r="D27" i="50" s="1"/>
  <c r="G26" i="50"/>
  <c r="F26" i="50"/>
  <c r="C26" i="50" s="1"/>
  <c r="G25" i="50"/>
  <c r="F25" i="50"/>
  <c r="D25" i="50" s="1"/>
  <c r="H29" i="50"/>
  <c r="H28" i="50"/>
  <c r="H27" i="50"/>
  <c r="H26" i="50"/>
  <c r="H25" i="50"/>
  <c r="H30" i="50"/>
  <c r="D51" i="50"/>
  <c r="D50" i="50"/>
  <c r="D49" i="50"/>
  <c r="D48" i="50"/>
  <c r="D47" i="50"/>
  <c r="K46" i="50"/>
  <c r="J46" i="50"/>
  <c r="J51" i="50" s="1"/>
  <c r="I46" i="50"/>
  <c r="H46" i="50"/>
  <c r="H51" i="50" s="1"/>
  <c r="G46" i="50"/>
  <c r="F46" i="50"/>
  <c r="F51" i="50" s="1"/>
  <c r="B58" i="50"/>
  <c r="F56" i="50"/>
  <c r="F60" i="50" s="1"/>
  <c r="B57" i="50"/>
  <c r="K56" i="50"/>
  <c r="J56" i="50"/>
  <c r="J61" i="50" s="1"/>
  <c r="I56" i="50"/>
  <c r="H56" i="50"/>
  <c r="H61" i="50" s="1"/>
  <c r="G56" i="50"/>
  <c r="T34" i="13"/>
  <c r="U34" i="13" s="1"/>
  <c r="T33" i="13"/>
  <c r="U33" i="13" s="1"/>
  <c r="T32" i="13"/>
  <c r="U32" i="13" s="1"/>
  <c r="T31" i="13"/>
  <c r="U31" i="13" s="1"/>
  <c r="T30" i="13"/>
  <c r="U30" i="13" s="1"/>
  <c r="T29" i="13"/>
  <c r="U29" i="13" s="1"/>
  <c r="T28" i="13"/>
  <c r="U28" i="13" s="1"/>
  <c r="T27" i="13"/>
  <c r="U27" i="13" s="1"/>
  <c r="T26" i="13"/>
  <c r="S34" i="13"/>
  <c r="B14" i="50"/>
  <c r="I14" i="50" s="1"/>
  <c r="B13" i="50"/>
  <c r="I6" i="50"/>
  <c r="I19" i="50" s="1"/>
  <c r="D6" i="50"/>
  <c r="F6" i="50" s="1"/>
  <c r="B6" i="50"/>
  <c r="C6" i="50" s="1"/>
  <c r="I13" i="50"/>
  <c r="H13" i="50" s="1"/>
  <c r="B5" i="50"/>
  <c r="D5" i="50"/>
  <c r="F5" i="50" s="1"/>
  <c r="D12" i="50"/>
  <c r="F12" i="50" s="1"/>
  <c r="C12" i="50" s="1"/>
  <c r="I12" i="50"/>
  <c r="H12" i="50" s="1"/>
  <c r="F11" i="50"/>
  <c r="C11" i="50" s="1"/>
  <c r="I11" i="50"/>
  <c r="H11" i="50" s="1"/>
  <c r="I4" i="50"/>
  <c r="J4" i="50" s="1"/>
  <c r="I3" i="50"/>
  <c r="J3" i="50" s="1"/>
  <c r="D4" i="50"/>
  <c r="F4" i="50" s="1"/>
  <c r="G4" i="50" s="1"/>
  <c r="D3" i="50"/>
  <c r="F3" i="50" s="1"/>
  <c r="F14" i="48"/>
  <c r="F13" i="48"/>
  <c r="F12" i="48"/>
  <c r="F11" i="48"/>
  <c r="D14" i="48"/>
  <c r="D13" i="48"/>
  <c r="D12" i="48"/>
  <c r="D11" i="48"/>
  <c r="E14" i="48"/>
  <c r="C14" i="48"/>
  <c r="E13" i="48"/>
  <c r="C13" i="48"/>
  <c r="E12" i="48"/>
  <c r="C12" i="48"/>
  <c r="E11" i="48"/>
  <c r="C11" i="48"/>
  <c r="E10" i="48"/>
  <c r="C10" i="48"/>
  <c r="G10" i="48"/>
  <c r="B10" i="48"/>
  <c r="G14" i="48"/>
  <c r="B14" i="48"/>
  <c r="A14" i="48"/>
  <c r="G13" i="48"/>
  <c r="B13" i="48"/>
  <c r="A13" i="48"/>
  <c r="G12" i="48"/>
  <c r="B12" i="48"/>
  <c r="A12" i="48"/>
  <c r="G11" i="48"/>
  <c r="B11" i="48"/>
  <c r="A11" i="48"/>
  <c r="A10" i="48"/>
  <c r="C9" i="47"/>
  <c r="C10" i="47" s="1"/>
  <c r="C11" i="47" s="1"/>
  <c r="C12" i="47" s="1"/>
  <c r="C13" i="47" s="1"/>
  <c r="C14" i="47" s="1"/>
  <c r="C15" i="47" s="1"/>
  <c r="C16" i="47" s="1"/>
  <c r="C17" i="47" s="1"/>
  <c r="C18" i="47" s="1"/>
  <c r="C19" i="47" s="1"/>
  <c r="C20" i="47" s="1"/>
  <c r="R71" i="47"/>
  <c r="R70" i="47"/>
  <c r="R69" i="47"/>
  <c r="R68" i="47"/>
  <c r="R67" i="47"/>
  <c r="R66" i="47"/>
  <c r="R65" i="47"/>
  <c r="R64" i="47"/>
  <c r="R63" i="47"/>
  <c r="R62" i="47"/>
  <c r="R61" i="47"/>
  <c r="R60" i="47"/>
  <c r="R59" i="47"/>
  <c r="R58" i="47"/>
  <c r="R57" i="47"/>
  <c r="R56" i="47"/>
  <c r="R55" i="47"/>
  <c r="R54" i="47"/>
  <c r="R53" i="47"/>
  <c r="R52" i="47"/>
  <c r="R51" i="47"/>
  <c r="R50" i="47"/>
  <c r="R49" i="47"/>
  <c r="R48" i="47"/>
  <c r="R47" i="47"/>
  <c r="R46" i="47"/>
  <c r="R45" i="47"/>
  <c r="R44" i="47"/>
  <c r="R43" i="47"/>
  <c r="R42" i="47"/>
  <c r="R41" i="47"/>
  <c r="R40" i="47"/>
  <c r="R39" i="47"/>
  <c r="R38" i="47"/>
  <c r="R37" i="47"/>
  <c r="R36" i="47"/>
  <c r="R35" i="47"/>
  <c r="R34" i="47"/>
  <c r="R33" i="47"/>
  <c r="R32" i="47"/>
  <c r="R31" i="47"/>
  <c r="R30" i="47"/>
  <c r="R29" i="47"/>
  <c r="R28" i="47"/>
  <c r="R27" i="47"/>
  <c r="R26" i="47"/>
  <c r="R25" i="47"/>
  <c r="R24" i="47"/>
  <c r="R23" i="47"/>
  <c r="R22" i="47"/>
  <c r="R21" i="47"/>
  <c r="R20" i="47"/>
  <c r="R19" i="47"/>
  <c r="R18" i="47"/>
  <c r="R17" i="47"/>
  <c r="R16" i="47"/>
  <c r="R15" i="47"/>
  <c r="R14" i="47"/>
  <c r="R13" i="47"/>
  <c r="R12" i="47"/>
  <c r="R11" i="47"/>
  <c r="R10" i="47"/>
  <c r="R9" i="47"/>
  <c r="I33" i="13"/>
  <c r="G33" i="13"/>
  <c r="I73" i="13"/>
  <c r="G73" i="13"/>
  <c r="C73" i="13"/>
  <c r="C72" i="13"/>
  <c r="C71" i="13"/>
  <c r="C33" i="13"/>
  <c r="C32" i="13"/>
  <c r="C31" i="13"/>
  <c r="C30" i="13"/>
  <c r="C74" i="13"/>
  <c r="I74" i="13"/>
  <c r="C34" i="13"/>
  <c r="I34" i="13"/>
  <c r="O69" i="23"/>
  <c r="O68" i="23"/>
  <c r="O67" i="23"/>
  <c r="O66" i="23"/>
  <c r="O65" i="23"/>
  <c r="O64" i="23"/>
  <c r="O63" i="23"/>
  <c r="O62" i="23"/>
  <c r="O61" i="23"/>
  <c r="O60" i="23"/>
  <c r="R70" i="23"/>
  <c r="S69" i="23"/>
  <c r="C69" i="23"/>
  <c r="E69" i="23" s="1"/>
  <c r="S68" i="23"/>
  <c r="C68" i="23"/>
  <c r="E68" i="23" s="1"/>
  <c r="S67" i="23"/>
  <c r="C67" i="23"/>
  <c r="E67" i="23" s="1"/>
  <c r="S66" i="23"/>
  <c r="C66" i="23"/>
  <c r="E66" i="23" s="1"/>
  <c r="S65" i="23"/>
  <c r="G65" i="23"/>
  <c r="H65" i="23" s="1"/>
  <c r="J65" i="23" s="1"/>
  <c r="C65" i="23"/>
  <c r="E65" i="23" s="1"/>
  <c r="S64" i="23"/>
  <c r="G64" i="23"/>
  <c r="H64" i="23" s="1"/>
  <c r="J64" i="23" s="1"/>
  <c r="C64" i="23"/>
  <c r="E64" i="23" s="1"/>
  <c r="S63" i="23"/>
  <c r="G63" i="23"/>
  <c r="H63" i="23" s="1"/>
  <c r="J63" i="23" s="1"/>
  <c r="C63" i="23"/>
  <c r="E63" i="23" s="1"/>
  <c r="S62" i="23"/>
  <c r="G62" i="23"/>
  <c r="H62" i="23" s="1"/>
  <c r="J62" i="23" s="1"/>
  <c r="C62" i="23"/>
  <c r="E62" i="23" s="1"/>
  <c r="S61" i="23"/>
  <c r="G61" i="23"/>
  <c r="H61" i="23" s="1"/>
  <c r="J61" i="23" s="1"/>
  <c r="C61" i="23"/>
  <c r="E61" i="23" s="1"/>
  <c r="S60" i="23"/>
  <c r="S70" i="23" s="1"/>
  <c r="C60" i="23"/>
  <c r="E60" i="23" s="1"/>
  <c r="G60" i="23" s="1"/>
  <c r="H60" i="23" s="1"/>
  <c r="J60" i="23" s="1"/>
  <c r="T55" i="23"/>
  <c r="T54" i="23"/>
  <c r="T53" i="23"/>
  <c r="T52" i="23"/>
  <c r="T51" i="23"/>
  <c r="T50" i="23"/>
  <c r="T49" i="23"/>
  <c r="T48" i="23"/>
  <c r="T47" i="23"/>
  <c r="T46" i="23"/>
  <c r="T56" i="23" s="1"/>
  <c r="T41" i="23"/>
  <c r="T40" i="23"/>
  <c r="T39" i="23"/>
  <c r="T38" i="23"/>
  <c r="T37" i="23"/>
  <c r="T36" i="23"/>
  <c r="T35" i="23"/>
  <c r="T34" i="23"/>
  <c r="T33" i="23"/>
  <c r="T32" i="23"/>
  <c r="T42" i="23" s="1"/>
  <c r="T28" i="23"/>
  <c r="T27" i="23"/>
  <c r="T26" i="23"/>
  <c r="T25" i="23"/>
  <c r="T24" i="23"/>
  <c r="T23" i="23"/>
  <c r="T22" i="23"/>
  <c r="T21" i="23"/>
  <c r="T20" i="23"/>
  <c r="T19" i="23"/>
  <c r="T18" i="23"/>
  <c r="O55" i="23"/>
  <c r="O54" i="23"/>
  <c r="O53" i="23"/>
  <c r="O52" i="23"/>
  <c r="O51" i="23"/>
  <c r="O49" i="23"/>
  <c r="O48" i="23"/>
  <c r="O47" i="23"/>
  <c r="O46" i="23"/>
  <c r="O50" i="23"/>
  <c r="O41" i="23"/>
  <c r="O40" i="23"/>
  <c r="O39" i="23"/>
  <c r="O38" i="23"/>
  <c r="O36" i="23"/>
  <c r="O35" i="23"/>
  <c r="O34" i="23"/>
  <c r="O33" i="23"/>
  <c r="O37" i="23"/>
  <c r="O32" i="23"/>
  <c r="D19" i="23"/>
  <c r="D20" i="23" s="1"/>
  <c r="D21" i="23" s="1"/>
  <c r="D22" i="23" s="1"/>
  <c r="D23" i="23" s="1"/>
  <c r="D24" i="23" s="1"/>
  <c r="D25" i="23" s="1"/>
  <c r="D26" i="23" s="1"/>
  <c r="D27" i="23" s="1"/>
  <c r="R56" i="23"/>
  <c r="S55" i="23"/>
  <c r="C55" i="23"/>
  <c r="E55" i="23" s="1"/>
  <c r="S54" i="23"/>
  <c r="C54" i="23"/>
  <c r="S53" i="23"/>
  <c r="C53" i="23"/>
  <c r="E53" i="23" s="1"/>
  <c r="S52" i="23"/>
  <c r="E52" i="23"/>
  <c r="C52" i="23"/>
  <c r="S51" i="23"/>
  <c r="C51" i="23"/>
  <c r="E51" i="23" s="1"/>
  <c r="S50" i="23"/>
  <c r="C50" i="23"/>
  <c r="S49" i="23"/>
  <c r="C49" i="23"/>
  <c r="S48" i="23"/>
  <c r="E48" i="23"/>
  <c r="C48" i="23"/>
  <c r="S47" i="23"/>
  <c r="C47" i="23"/>
  <c r="E47" i="23" s="1"/>
  <c r="S46" i="23"/>
  <c r="C46" i="23"/>
  <c r="R42" i="23"/>
  <c r="S41" i="23"/>
  <c r="C41" i="23"/>
  <c r="E41" i="23" s="1"/>
  <c r="S40" i="23"/>
  <c r="C40" i="23"/>
  <c r="S39" i="23"/>
  <c r="C39" i="23"/>
  <c r="E39" i="23" s="1"/>
  <c r="S38" i="23"/>
  <c r="C38" i="23"/>
  <c r="E38" i="23" s="1"/>
  <c r="S37" i="23"/>
  <c r="C37" i="23"/>
  <c r="E37" i="23" s="1"/>
  <c r="S36" i="23"/>
  <c r="C36" i="23"/>
  <c r="S35" i="23"/>
  <c r="C35" i="23"/>
  <c r="E35" i="23" s="1"/>
  <c r="S34" i="23"/>
  <c r="C34" i="23"/>
  <c r="E34" i="23" s="1"/>
  <c r="S33" i="23"/>
  <c r="C33" i="23"/>
  <c r="E33" i="23" s="1"/>
  <c r="S32" i="23"/>
  <c r="C32" i="23"/>
  <c r="C18" i="23"/>
  <c r="S18" i="23"/>
  <c r="R28" i="23"/>
  <c r="O27" i="23"/>
  <c r="O26" i="23"/>
  <c r="O25" i="23"/>
  <c r="O24" i="23"/>
  <c r="O23" i="23"/>
  <c r="O22" i="23"/>
  <c r="O21" i="23"/>
  <c r="O20" i="23"/>
  <c r="O19" i="23"/>
  <c r="O18" i="23"/>
  <c r="Q6" i="16"/>
  <c r="L6" i="16"/>
  <c r="G6" i="16" s="1"/>
  <c r="E6" i="16"/>
  <c r="L9" i="16"/>
  <c r="G9" i="16" s="1"/>
  <c r="E9" i="16"/>
  <c r="L10" i="16"/>
  <c r="G10" i="16" s="1"/>
  <c r="E10" i="16"/>
  <c r="L7" i="16"/>
  <c r="G7" i="16" s="1"/>
  <c r="E7" i="16"/>
  <c r="E8" i="16"/>
  <c r="S33" i="13"/>
  <c r="S73" i="13"/>
  <c r="C9" i="46"/>
  <c r="C8" i="46"/>
  <c r="C6" i="46"/>
  <c r="C5" i="46" s="1"/>
  <c r="E9" i="46"/>
  <c r="E6" i="46"/>
  <c r="F6" i="46" s="1"/>
  <c r="J88" i="13"/>
  <c r="K88" i="13" s="1"/>
  <c r="G6" i="45"/>
  <c r="E6" i="45"/>
  <c r="G5" i="45"/>
  <c r="E5" i="45"/>
  <c r="G4" i="45"/>
  <c r="E4" i="45"/>
  <c r="E67" i="13"/>
  <c r="E68" i="13" s="1"/>
  <c r="E69" i="13" s="1"/>
  <c r="E27" i="13"/>
  <c r="E28" i="13" s="1"/>
  <c r="E29" i="13" s="1"/>
  <c r="H54" i="42"/>
  <c r="G54" i="42"/>
  <c r="E54" i="42"/>
  <c r="F54" i="42" s="1"/>
  <c r="H52" i="42"/>
  <c r="G52" i="42"/>
  <c r="F52" i="42"/>
  <c r="B52" i="42"/>
  <c r="G51" i="42"/>
  <c r="F51" i="42"/>
  <c r="B51" i="42"/>
  <c r="G50" i="42"/>
  <c r="F50" i="42"/>
  <c r="B50" i="42"/>
  <c r="H49" i="42"/>
  <c r="G49" i="42"/>
  <c r="F49" i="42"/>
  <c r="B49" i="42"/>
  <c r="G48" i="42"/>
  <c r="F48" i="42"/>
  <c r="B48" i="42"/>
  <c r="G47" i="42"/>
  <c r="F47" i="42"/>
  <c r="B47" i="42"/>
  <c r="J78" i="42"/>
  <c r="F78" i="42"/>
  <c r="D78" i="42"/>
  <c r="J77" i="42"/>
  <c r="F77" i="42"/>
  <c r="D77" i="42"/>
  <c r="J76" i="42"/>
  <c r="F76" i="42"/>
  <c r="D76" i="42"/>
  <c r="J75" i="42"/>
  <c r="F75" i="42"/>
  <c r="D75" i="42"/>
  <c r="J74" i="42"/>
  <c r="F74" i="42"/>
  <c r="D74" i="42"/>
  <c r="J73" i="42"/>
  <c r="F73" i="42"/>
  <c r="D73" i="42"/>
  <c r="J72" i="42"/>
  <c r="F72" i="42"/>
  <c r="D72" i="42"/>
  <c r="J71" i="42"/>
  <c r="F71" i="42"/>
  <c r="D71" i="42"/>
  <c r="J85" i="42"/>
  <c r="F85" i="42"/>
  <c r="D85" i="42"/>
  <c r="J84" i="42"/>
  <c r="F84" i="42"/>
  <c r="D84" i="42"/>
  <c r="J83" i="42"/>
  <c r="F83" i="42"/>
  <c r="D83" i="42"/>
  <c r="J82" i="42"/>
  <c r="F82" i="42"/>
  <c r="D82" i="42"/>
  <c r="J81" i="42"/>
  <c r="F81" i="42"/>
  <c r="D81" i="42"/>
  <c r="J80" i="42"/>
  <c r="F80" i="42"/>
  <c r="D80" i="42"/>
  <c r="F59" i="42"/>
  <c r="D59" i="42"/>
  <c r="F60" i="42"/>
  <c r="D60" i="42"/>
  <c r="G15" i="43"/>
  <c r="E15" i="43"/>
  <c r="D8" i="43"/>
  <c r="E8" i="43" s="1"/>
  <c r="D12" i="43"/>
  <c r="E12" i="43" s="1"/>
  <c r="D7" i="43"/>
  <c r="E7" i="43" s="1"/>
  <c r="D6" i="43"/>
  <c r="E6" i="43" s="1"/>
  <c r="D5" i="43"/>
  <c r="E5" i="43" s="1"/>
  <c r="G45" i="42"/>
  <c r="K45" i="42" s="1"/>
  <c r="J69" i="42"/>
  <c r="F69" i="42"/>
  <c r="D69" i="42"/>
  <c r="J68" i="42"/>
  <c r="F68" i="42"/>
  <c r="D68" i="42"/>
  <c r="J67" i="42"/>
  <c r="F67" i="42"/>
  <c r="D67" i="42"/>
  <c r="J66" i="42"/>
  <c r="F66" i="42"/>
  <c r="D66" i="42"/>
  <c r="J65" i="42"/>
  <c r="F65" i="42"/>
  <c r="D65" i="42"/>
  <c r="J64" i="42"/>
  <c r="F64" i="42"/>
  <c r="D64" i="42"/>
  <c r="F58" i="42"/>
  <c r="D58" i="42"/>
  <c r="H45" i="42"/>
  <c r="B45" i="42"/>
  <c r="J54" i="42" s="1"/>
  <c r="F45" i="42"/>
  <c r="J41" i="42"/>
  <c r="F41" i="42"/>
  <c r="D41" i="42"/>
  <c r="J40" i="42"/>
  <c r="F40" i="42"/>
  <c r="D40" i="42"/>
  <c r="J39" i="42"/>
  <c r="F39" i="42"/>
  <c r="D39" i="42"/>
  <c r="J38" i="42"/>
  <c r="F38" i="42"/>
  <c r="D38" i="42"/>
  <c r="J37" i="42"/>
  <c r="F37" i="42"/>
  <c r="D37" i="42"/>
  <c r="J36" i="42"/>
  <c r="F36" i="42"/>
  <c r="D36" i="42"/>
  <c r="F32" i="42"/>
  <c r="D32" i="42"/>
  <c r="E27" i="42"/>
  <c r="F27" i="42" s="1"/>
  <c r="H27" i="42" s="1"/>
  <c r="I27" i="42" s="1"/>
  <c r="K27" i="42" s="1"/>
  <c r="M27" i="42" s="1"/>
  <c r="E26" i="42"/>
  <c r="F26" i="42" s="1"/>
  <c r="H26" i="42" s="1"/>
  <c r="I26" i="42" s="1"/>
  <c r="K26" i="42" s="1"/>
  <c r="M26" i="42" s="1"/>
  <c r="E25" i="42"/>
  <c r="F25" i="42" s="1"/>
  <c r="H25" i="42" s="1"/>
  <c r="I25" i="42" s="1"/>
  <c r="K25" i="42" s="1"/>
  <c r="M25" i="42" s="1"/>
  <c r="E24" i="42"/>
  <c r="F24" i="42" s="1"/>
  <c r="H24" i="42" s="1"/>
  <c r="I24" i="42" s="1"/>
  <c r="K24" i="42" s="1"/>
  <c r="M24" i="42" s="1"/>
  <c r="E23" i="42"/>
  <c r="F23" i="42" s="1"/>
  <c r="H23" i="42" s="1"/>
  <c r="I23" i="42" s="1"/>
  <c r="K23" i="42" s="1"/>
  <c r="M23" i="42" s="1"/>
  <c r="D13" i="42"/>
  <c r="E13" i="42" s="1"/>
  <c r="D14" i="42"/>
  <c r="D15" i="42"/>
  <c r="E15" i="42" s="1"/>
  <c r="E14" i="42"/>
  <c r="G15" i="42"/>
  <c r="G14" i="42"/>
  <c r="G13" i="42"/>
  <c r="E6" i="42"/>
  <c r="D6" i="42"/>
  <c r="C6" i="42"/>
  <c r="B6" i="42"/>
  <c r="C33" i="36"/>
  <c r="B33" i="36"/>
  <c r="O9" i="36"/>
  <c r="N9" i="36"/>
  <c r="M9" i="36"/>
  <c r="L9" i="36"/>
  <c r="K9" i="36"/>
  <c r="J9" i="36"/>
  <c r="I9" i="36"/>
  <c r="H9" i="36"/>
  <c r="G9" i="36"/>
  <c r="F9" i="36"/>
  <c r="E9" i="36"/>
  <c r="D9" i="36"/>
  <c r="C9" i="36"/>
  <c r="C32" i="36"/>
  <c r="C31" i="36"/>
  <c r="C30" i="36"/>
  <c r="C29" i="36"/>
  <c r="C28" i="36"/>
  <c r="C27" i="36"/>
  <c r="C26" i="36"/>
  <c r="C25" i="36"/>
  <c r="C24" i="36"/>
  <c r="C23" i="36"/>
  <c r="A68" i="24"/>
  <c r="A67" i="24"/>
  <c r="D66" i="24"/>
  <c r="B66" i="24"/>
  <c r="A66" i="24"/>
  <c r="D65" i="24"/>
  <c r="B65" i="24"/>
  <c r="A65" i="24"/>
  <c r="D64" i="24"/>
  <c r="B64" i="24"/>
  <c r="A64" i="24"/>
  <c r="D63" i="24"/>
  <c r="B63" i="24"/>
  <c r="A63" i="24"/>
  <c r="D33" i="40"/>
  <c r="G33" i="40"/>
  <c r="H33" i="40"/>
  <c r="D34" i="40"/>
  <c r="G34" i="40"/>
  <c r="H34" i="40"/>
  <c r="D35" i="40"/>
  <c r="G35" i="40"/>
  <c r="H35" i="40"/>
  <c r="D36" i="40"/>
  <c r="G36" i="40"/>
  <c r="H36" i="40"/>
  <c r="D37" i="40"/>
  <c r="G37" i="40"/>
  <c r="H37" i="40"/>
  <c r="H32" i="40"/>
  <c r="H31" i="40"/>
  <c r="I33" i="40" s="1"/>
  <c r="D32" i="40"/>
  <c r="D31" i="40"/>
  <c r="H49" i="41"/>
  <c r="AA3" i="16"/>
  <c r="AA32" i="16" s="1"/>
  <c r="B10" i="41"/>
  <c r="B11" i="41" s="1"/>
  <c r="H339" i="10"/>
  <c r="G339" i="10"/>
  <c r="H338" i="10"/>
  <c r="G338" i="10"/>
  <c r="H337" i="10"/>
  <c r="G337" i="10"/>
  <c r="H336" i="10"/>
  <c r="G336" i="10"/>
  <c r="F336" i="10"/>
  <c r="H335" i="10"/>
  <c r="G335" i="10"/>
  <c r="F335" i="10"/>
  <c r="H334" i="10"/>
  <c r="G334" i="10"/>
  <c r="F334" i="10"/>
  <c r="H333" i="10"/>
  <c r="G333" i="10"/>
  <c r="F333" i="10"/>
  <c r="H332" i="10"/>
  <c r="G332" i="10"/>
  <c r="F332" i="10"/>
  <c r="H331" i="10"/>
  <c r="G331" i="10"/>
  <c r="F331" i="10"/>
  <c r="H330" i="10"/>
  <c r="G330" i="10"/>
  <c r="F330" i="10"/>
  <c r="H329" i="10"/>
  <c r="G329" i="10"/>
  <c r="F329" i="10"/>
  <c r="H328" i="10"/>
  <c r="G328" i="10"/>
  <c r="F328" i="10"/>
  <c r="H327" i="10"/>
  <c r="G327" i="10"/>
  <c r="F327" i="10"/>
  <c r="H326" i="10"/>
  <c r="G326" i="10"/>
  <c r="F326" i="10"/>
  <c r="H325" i="10"/>
  <c r="G325" i="10"/>
  <c r="F325" i="10"/>
  <c r="H324" i="10"/>
  <c r="G324" i="10"/>
  <c r="F324" i="10"/>
  <c r="H323" i="10"/>
  <c r="G323" i="10"/>
  <c r="F323" i="10"/>
  <c r="H322" i="10"/>
  <c r="G322" i="10"/>
  <c r="F322" i="10"/>
  <c r="H321" i="10"/>
  <c r="G321" i="10"/>
  <c r="F321" i="10"/>
  <c r="H320" i="10"/>
  <c r="G320" i="10"/>
  <c r="F320" i="10"/>
  <c r="H319" i="10"/>
  <c r="G319" i="10"/>
  <c r="F319" i="10"/>
  <c r="H318" i="10"/>
  <c r="G318" i="10"/>
  <c r="F318" i="10"/>
  <c r="H317" i="10"/>
  <c r="G317" i="10"/>
  <c r="F317" i="10"/>
  <c r="H316" i="10"/>
  <c r="G316" i="10"/>
  <c r="F316" i="10"/>
  <c r="H315" i="10"/>
  <c r="G315" i="10"/>
  <c r="F315" i="10"/>
  <c r="H314" i="10"/>
  <c r="G314" i="10"/>
  <c r="F314" i="10"/>
  <c r="H313" i="10"/>
  <c r="G313" i="10"/>
  <c r="F313" i="10"/>
  <c r="H312" i="10"/>
  <c r="G312" i="10"/>
  <c r="F312" i="10"/>
  <c r="H311" i="10"/>
  <c r="G311" i="10"/>
  <c r="F311" i="10"/>
  <c r="H310" i="10"/>
  <c r="G310" i="10"/>
  <c r="F310" i="10"/>
  <c r="H309" i="10"/>
  <c r="G309" i="10"/>
  <c r="F309" i="10"/>
  <c r="H308" i="10"/>
  <c r="G308" i="10"/>
  <c r="F308" i="10"/>
  <c r="H307" i="10"/>
  <c r="G307" i="10"/>
  <c r="F307" i="10"/>
  <c r="H306" i="10"/>
  <c r="G306" i="10"/>
  <c r="F306" i="10"/>
  <c r="H305" i="10"/>
  <c r="G305" i="10"/>
  <c r="F305" i="10"/>
  <c r="H304" i="10"/>
  <c r="G304" i="10"/>
  <c r="F304" i="10"/>
  <c r="H303" i="10"/>
  <c r="G303" i="10"/>
  <c r="F303" i="10"/>
  <c r="H302" i="10"/>
  <c r="G302" i="10"/>
  <c r="F302" i="10"/>
  <c r="H301" i="10"/>
  <c r="G301" i="10"/>
  <c r="F301" i="10"/>
  <c r="H300" i="10"/>
  <c r="G300" i="10"/>
  <c r="F300" i="10"/>
  <c r="H299" i="10"/>
  <c r="G299" i="10"/>
  <c r="F299" i="10"/>
  <c r="H298" i="10"/>
  <c r="G298" i="10"/>
  <c r="F298" i="10"/>
  <c r="H297" i="10"/>
  <c r="G297" i="10"/>
  <c r="F297" i="10"/>
  <c r="H296" i="10"/>
  <c r="G296" i="10"/>
  <c r="F296" i="10"/>
  <c r="H295" i="10"/>
  <c r="G295" i="10"/>
  <c r="F295" i="10"/>
  <c r="H294" i="10"/>
  <c r="G294" i="10"/>
  <c r="F294" i="10"/>
  <c r="H293" i="10"/>
  <c r="G293" i="10"/>
  <c r="F293" i="10"/>
  <c r="H292" i="10"/>
  <c r="G292" i="10"/>
  <c r="F292" i="10"/>
  <c r="H291" i="10"/>
  <c r="G291" i="10"/>
  <c r="F291" i="10"/>
  <c r="H290" i="10"/>
  <c r="G290" i="10"/>
  <c r="F290" i="10"/>
  <c r="H289" i="10"/>
  <c r="G289" i="10"/>
  <c r="F289" i="10"/>
  <c r="H288" i="10"/>
  <c r="G288" i="10"/>
  <c r="F288" i="10"/>
  <c r="H287" i="10"/>
  <c r="G287" i="10"/>
  <c r="F287" i="10"/>
  <c r="H286" i="10"/>
  <c r="G286" i="10"/>
  <c r="F286" i="10"/>
  <c r="H285" i="10"/>
  <c r="G285" i="10"/>
  <c r="F285" i="10"/>
  <c r="H284" i="10"/>
  <c r="G284" i="10"/>
  <c r="F284" i="10"/>
  <c r="H283" i="10"/>
  <c r="G283" i="10"/>
  <c r="F283" i="10"/>
  <c r="H282" i="10"/>
  <c r="G282" i="10"/>
  <c r="F282" i="10"/>
  <c r="H281" i="10"/>
  <c r="G281" i="10"/>
  <c r="F281" i="10"/>
  <c r="H280" i="10"/>
  <c r="G280" i="10"/>
  <c r="F280" i="10"/>
  <c r="H279" i="10"/>
  <c r="G279" i="10"/>
  <c r="F279" i="10"/>
  <c r="H278" i="10"/>
  <c r="G278" i="10"/>
  <c r="F278" i="10"/>
  <c r="H277" i="10"/>
  <c r="G277" i="10"/>
  <c r="F277" i="10"/>
  <c r="H276" i="10"/>
  <c r="G276" i="10"/>
  <c r="F276" i="10"/>
  <c r="H275" i="10"/>
  <c r="G275" i="10"/>
  <c r="F275" i="10"/>
  <c r="H271" i="10"/>
  <c r="G271" i="10"/>
  <c r="F271" i="10"/>
  <c r="G270" i="10"/>
  <c r="F270" i="10"/>
  <c r="G269" i="10"/>
  <c r="F269" i="10"/>
  <c r="G268" i="10"/>
  <c r="F268" i="10"/>
  <c r="G267" i="10"/>
  <c r="F267" i="10"/>
  <c r="G266" i="10"/>
  <c r="F266" i="10"/>
  <c r="G265" i="10"/>
  <c r="F265" i="10"/>
  <c r="G264" i="10"/>
  <c r="F264" i="10"/>
  <c r="G263" i="10"/>
  <c r="F263" i="10"/>
  <c r="G262" i="10"/>
  <c r="F262" i="10"/>
  <c r="G261" i="10"/>
  <c r="F261" i="10"/>
  <c r="G260" i="10"/>
  <c r="F260" i="10"/>
  <c r="G259" i="10"/>
  <c r="F259" i="10"/>
  <c r="G258" i="10"/>
  <c r="F258" i="10"/>
  <c r="G257" i="10"/>
  <c r="F257" i="10"/>
  <c r="G256" i="10"/>
  <c r="F256" i="10"/>
  <c r="G255" i="10"/>
  <c r="F255" i="10"/>
  <c r="G254" i="10"/>
  <c r="F254" i="10"/>
  <c r="G253" i="10"/>
  <c r="F253" i="10"/>
  <c r="G252" i="10"/>
  <c r="F252" i="10"/>
  <c r="G251" i="10"/>
  <c r="F251" i="10"/>
  <c r="G250" i="10"/>
  <c r="F250" i="10"/>
  <c r="G249" i="10"/>
  <c r="F249" i="10"/>
  <c r="G248" i="10"/>
  <c r="F248" i="10"/>
  <c r="G247" i="10"/>
  <c r="F247" i="10"/>
  <c r="G246" i="10"/>
  <c r="F246" i="10"/>
  <c r="H245" i="10"/>
  <c r="G245" i="10"/>
  <c r="F245" i="10"/>
  <c r="H241" i="10"/>
  <c r="G241" i="10"/>
  <c r="F241" i="10"/>
  <c r="G240" i="10"/>
  <c r="F240" i="10"/>
  <c r="G239" i="10"/>
  <c r="F239" i="10"/>
  <c r="G238" i="10"/>
  <c r="F238" i="10"/>
  <c r="G237" i="10"/>
  <c r="F237" i="10"/>
  <c r="G236" i="10"/>
  <c r="F236" i="10"/>
  <c r="G235" i="10"/>
  <c r="F235" i="10"/>
  <c r="G234" i="10"/>
  <c r="F234" i="10"/>
  <c r="G233" i="10"/>
  <c r="F233" i="10"/>
  <c r="G232" i="10"/>
  <c r="F232" i="10"/>
  <c r="G231" i="10"/>
  <c r="F231" i="10"/>
  <c r="G230" i="10"/>
  <c r="F230" i="10"/>
  <c r="G229" i="10"/>
  <c r="F229" i="10"/>
  <c r="G228" i="10"/>
  <c r="F228" i="10"/>
  <c r="G227" i="10"/>
  <c r="F227" i="10"/>
  <c r="G226" i="10"/>
  <c r="F226" i="10"/>
  <c r="G225" i="10"/>
  <c r="F225" i="10"/>
  <c r="G224" i="10"/>
  <c r="F224" i="10"/>
  <c r="G223" i="10"/>
  <c r="F223" i="10"/>
  <c r="G222" i="10"/>
  <c r="F222" i="10"/>
  <c r="G221" i="10"/>
  <c r="F221" i="10"/>
  <c r="H220" i="10"/>
  <c r="G220" i="10"/>
  <c r="F220" i="10"/>
  <c r="H216" i="10"/>
  <c r="G216" i="10"/>
  <c r="F216" i="10"/>
  <c r="G215" i="10"/>
  <c r="F215" i="10"/>
  <c r="G214" i="10"/>
  <c r="F214" i="10"/>
  <c r="G213" i="10"/>
  <c r="F213" i="10"/>
  <c r="G212" i="10"/>
  <c r="F212" i="10"/>
  <c r="G211" i="10"/>
  <c r="F211" i="10"/>
  <c r="G210" i="10"/>
  <c r="F210" i="10"/>
  <c r="G209" i="10"/>
  <c r="F209" i="10"/>
  <c r="G208" i="10"/>
  <c r="F208" i="10"/>
  <c r="G207" i="10"/>
  <c r="F207" i="10"/>
  <c r="G206" i="10"/>
  <c r="F206" i="10"/>
  <c r="G205" i="10"/>
  <c r="F205" i="10"/>
  <c r="G204" i="10"/>
  <c r="F204" i="10"/>
  <c r="G203" i="10"/>
  <c r="F203" i="10"/>
  <c r="G202" i="10"/>
  <c r="F202" i="10"/>
  <c r="G201" i="10"/>
  <c r="F201" i="10"/>
  <c r="G200" i="10"/>
  <c r="F200" i="10"/>
  <c r="G199" i="10"/>
  <c r="F199" i="10"/>
  <c r="G198" i="10"/>
  <c r="F198" i="10"/>
  <c r="G197" i="10"/>
  <c r="F197" i="10"/>
  <c r="G196" i="10"/>
  <c r="F196" i="10"/>
  <c r="G195" i="10"/>
  <c r="F195" i="10"/>
  <c r="G194" i="10"/>
  <c r="F194" i="10"/>
  <c r="G193" i="10"/>
  <c r="F193" i="10"/>
  <c r="G192" i="10"/>
  <c r="F192" i="10"/>
  <c r="G191" i="10"/>
  <c r="F191" i="10"/>
  <c r="G190" i="10"/>
  <c r="F190" i="10"/>
  <c r="G189" i="10"/>
  <c r="F189" i="10"/>
  <c r="G188" i="10"/>
  <c r="F188" i="10"/>
  <c r="G187" i="10"/>
  <c r="F187" i="10"/>
  <c r="G186" i="10"/>
  <c r="F186" i="10"/>
  <c r="G185" i="10"/>
  <c r="F185" i="10"/>
  <c r="G184" i="10"/>
  <c r="F184" i="10"/>
  <c r="G183" i="10"/>
  <c r="F183" i="10"/>
  <c r="G182" i="10"/>
  <c r="F182" i="10"/>
  <c r="G181" i="10"/>
  <c r="F181" i="10"/>
  <c r="G180" i="10"/>
  <c r="F180" i="10"/>
  <c r="G179" i="10"/>
  <c r="F179" i="10"/>
  <c r="G178" i="10"/>
  <c r="F178" i="10"/>
  <c r="G177" i="10"/>
  <c r="F177" i="10"/>
  <c r="G176" i="10"/>
  <c r="F176" i="10"/>
  <c r="G175" i="10"/>
  <c r="F175" i="10"/>
  <c r="G174" i="10"/>
  <c r="F174" i="10"/>
  <c r="G173" i="10"/>
  <c r="F173" i="10"/>
  <c r="G172" i="10"/>
  <c r="F172" i="10"/>
  <c r="G171" i="10"/>
  <c r="F171" i="10"/>
  <c r="G170" i="10"/>
  <c r="F170" i="10"/>
  <c r="G169" i="10"/>
  <c r="F169" i="10"/>
  <c r="G168" i="10"/>
  <c r="F168" i="10"/>
  <c r="G167" i="10"/>
  <c r="F167" i="10"/>
  <c r="G166" i="10"/>
  <c r="F166" i="10"/>
  <c r="G165" i="10"/>
  <c r="F165" i="10"/>
  <c r="G164" i="10"/>
  <c r="F164" i="10"/>
  <c r="G163" i="10"/>
  <c r="F163" i="10"/>
  <c r="G162" i="10"/>
  <c r="F162" i="10"/>
  <c r="G161" i="10"/>
  <c r="F161" i="10"/>
  <c r="G160" i="10"/>
  <c r="F160" i="10"/>
  <c r="G159" i="10"/>
  <c r="F159" i="10"/>
  <c r="G158" i="10"/>
  <c r="F158" i="10"/>
  <c r="G157" i="10"/>
  <c r="F157" i="10"/>
  <c r="G156" i="10"/>
  <c r="F156" i="10"/>
  <c r="G155" i="10"/>
  <c r="F155" i="10"/>
  <c r="G154" i="10"/>
  <c r="F154" i="10"/>
  <c r="G153" i="10"/>
  <c r="F153" i="10"/>
  <c r="G152" i="10"/>
  <c r="F152" i="10"/>
  <c r="G151" i="10"/>
  <c r="F151" i="10"/>
  <c r="G150" i="10"/>
  <c r="F150" i="10"/>
  <c r="G149" i="10"/>
  <c r="F149" i="10"/>
  <c r="G148" i="10"/>
  <c r="F148" i="10"/>
  <c r="G147" i="10"/>
  <c r="F147" i="10"/>
  <c r="G146" i="10"/>
  <c r="F146" i="10"/>
  <c r="G145" i="10"/>
  <c r="F145" i="10"/>
  <c r="G144" i="10"/>
  <c r="F144" i="10"/>
  <c r="G143" i="10"/>
  <c r="F143" i="10"/>
  <c r="G142" i="10"/>
  <c r="F142" i="10"/>
  <c r="G141" i="10"/>
  <c r="F141" i="10"/>
  <c r="G140" i="10"/>
  <c r="F140" i="10"/>
  <c r="G139" i="10"/>
  <c r="F139" i="10"/>
  <c r="G138" i="10"/>
  <c r="F138" i="10"/>
  <c r="G137" i="10"/>
  <c r="F137" i="10"/>
  <c r="G136" i="10"/>
  <c r="F136" i="10"/>
  <c r="G135" i="10"/>
  <c r="F135" i="10"/>
  <c r="G134" i="10"/>
  <c r="F134" i="10"/>
  <c r="G133" i="10"/>
  <c r="F133" i="10"/>
  <c r="G132" i="10"/>
  <c r="F132" i="10"/>
  <c r="G131" i="10"/>
  <c r="F131" i="10"/>
  <c r="G130" i="10"/>
  <c r="F130" i="10"/>
  <c r="G129" i="10"/>
  <c r="F129" i="10"/>
  <c r="G128" i="10"/>
  <c r="F128" i="10"/>
  <c r="G127" i="10"/>
  <c r="F127" i="10"/>
  <c r="G126" i="10"/>
  <c r="F126" i="10"/>
  <c r="G125" i="10"/>
  <c r="F125" i="10"/>
  <c r="G124" i="10"/>
  <c r="F124" i="10"/>
  <c r="G123" i="10"/>
  <c r="F123" i="10"/>
  <c r="G122" i="10"/>
  <c r="F122" i="10"/>
  <c r="G121" i="10"/>
  <c r="F121" i="10"/>
  <c r="G120" i="10"/>
  <c r="F120" i="10"/>
  <c r="G119" i="10"/>
  <c r="F119" i="10"/>
  <c r="G118" i="10"/>
  <c r="F118" i="10"/>
  <c r="G117" i="10"/>
  <c r="F117" i="10"/>
  <c r="G116" i="10"/>
  <c r="F116" i="10"/>
  <c r="G115" i="10"/>
  <c r="F115" i="10"/>
  <c r="G114" i="10"/>
  <c r="F114" i="10"/>
  <c r="G113" i="10"/>
  <c r="F113" i="10"/>
  <c r="G112" i="10"/>
  <c r="F112" i="10"/>
  <c r="G111" i="10"/>
  <c r="F111" i="10"/>
  <c r="G110" i="10"/>
  <c r="F110" i="10"/>
  <c r="G109" i="10"/>
  <c r="F109" i="10"/>
  <c r="G108" i="10"/>
  <c r="F108" i="10"/>
  <c r="G107" i="10"/>
  <c r="F107" i="10"/>
  <c r="G106" i="10"/>
  <c r="F106" i="10"/>
  <c r="G105" i="10"/>
  <c r="F105" i="10"/>
  <c r="G104" i="10"/>
  <c r="F104" i="10"/>
  <c r="G103" i="10"/>
  <c r="F103" i="10"/>
  <c r="H102" i="10"/>
  <c r="G102" i="10"/>
  <c r="F102" i="10"/>
  <c r="H98" i="10"/>
  <c r="G98" i="10"/>
  <c r="F98" i="10"/>
  <c r="G97" i="10"/>
  <c r="F97" i="10"/>
  <c r="G96" i="10"/>
  <c r="F96" i="10"/>
  <c r="G95" i="10"/>
  <c r="F95" i="10"/>
  <c r="G94" i="10"/>
  <c r="F94" i="10"/>
  <c r="G93" i="10"/>
  <c r="F93" i="10"/>
  <c r="G92" i="10"/>
  <c r="F92" i="10"/>
  <c r="G91" i="10"/>
  <c r="F91" i="10"/>
  <c r="G90" i="10"/>
  <c r="F90" i="10"/>
  <c r="G89" i="10"/>
  <c r="F89" i="10"/>
  <c r="G88" i="10"/>
  <c r="F88" i="10"/>
  <c r="G87" i="10"/>
  <c r="F87" i="10"/>
  <c r="G86" i="10"/>
  <c r="F86" i="10"/>
  <c r="G85" i="10"/>
  <c r="F85" i="10"/>
  <c r="G84" i="10"/>
  <c r="F84" i="10"/>
  <c r="G83" i="10"/>
  <c r="F83" i="10"/>
  <c r="G82" i="10"/>
  <c r="F82" i="10"/>
  <c r="G81" i="10"/>
  <c r="F81" i="10"/>
  <c r="G80" i="10"/>
  <c r="F80" i="10"/>
  <c r="G79" i="10"/>
  <c r="F79" i="10"/>
  <c r="G78" i="10"/>
  <c r="F78" i="10"/>
  <c r="H77" i="10"/>
  <c r="G77" i="10"/>
  <c r="F77" i="10"/>
  <c r="H73" i="10"/>
  <c r="G73" i="10"/>
  <c r="F73" i="10"/>
  <c r="G72" i="10"/>
  <c r="F72" i="10"/>
  <c r="G71" i="10"/>
  <c r="F71" i="10"/>
  <c r="G70" i="10"/>
  <c r="F70" i="10"/>
  <c r="G69" i="10"/>
  <c r="F69" i="10"/>
  <c r="G68" i="10"/>
  <c r="F68" i="10"/>
  <c r="G67" i="10"/>
  <c r="F67" i="10"/>
  <c r="G66" i="10"/>
  <c r="F66" i="10"/>
  <c r="G65" i="10"/>
  <c r="F65" i="10"/>
  <c r="G64" i="10"/>
  <c r="F64" i="10"/>
  <c r="G63" i="10"/>
  <c r="F63" i="10"/>
  <c r="G62" i="10"/>
  <c r="F62" i="10"/>
  <c r="G61" i="10"/>
  <c r="F61" i="10"/>
  <c r="G60" i="10"/>
  <c r="F60" i="10"/>
  <c r="G59" i="10"/>
  <c r="F59" i="10"/>
  <c r="G58" i="10"/>
  <c r="F58" i="10"/>
  <c r="G57" i="10"/>
  <c r="F57" i="10"/>
  <c r="G56" i="10"/>
  <c r="F56" i="10"/>
  <c r="G55" i="10"/>
  <c r="F55" i="10"/>
  <c r="G54" i="10"/>
  <c r="F54" i="10"/>
  <c r="G53" i="10"/>
  <c r="F53" i="10"/>
  <c r="G52" i="10"/>
  <c r="F52" i="10"/>
  <c r="G51" i="10"/>
  <c r="F51" i="10"/>
  <c r="G50" i="10"/>
  <c r="F50" i="10"/>
  <c r="G49" i="10"/>
  <c r="F49" i="10"/>
  <c r="G48" i="10"/>
  <c r="F48" i="10"/>
  <c r="G47" i="10"/>
  <c r="F47" i="10"/>
  <c r="H46" i="10"/>
  <c r="G46" i="10"/>
  <c r="F46" i="10"/>
  <c r="H45" i="10"/>
  <c r="G45" i="10"/>
  <c r="F45" i="10"/>
  <c r="H41" i="10"/>
  <c r="G41" i="10"/>
  <c r="F41" i="10"/>
  <c r="S77" i="13" l="1"/>
  <c r="D18" i="51"/>
  <c r="B20" i="51" s="1"/>
  <c r="G8" i="52"/>
  <c r="H7" i="52"/>
  <c r="F90" i="50"/>
  <c r="H90" i="50"/>
  <c r="J90" i="50"/>
  <c r="K99" i="50"/>
  <c r="F110" i="50"/>
  <c r="H110" i="50"/>
  <c r="J110" i="50"/>
  <c r="H109" i="50"/>
  <c r="J111" i="50"/>
  <c r="K119" i="50"/>
  <c r="H89" i="50"/>
  <c r="J91" i="50"/>
  <c r="K59" i="50"/>
  <c r="G91" i="50"/>
  <c r="I91" i="50"/>
  <c r="K91" i="50"/>
  <c r="F87" i="50"/>
  <c r="J107" i="50"/>
  <c r="F111" i="50"/>
  <c r="K121" i="50"/>
  <c r="I120" i="50"/>
  <c r="H107" i="50"/>
  <c r="F109" i="50"/>
  <c r="J109" i="50"/>
  <c r="H111" i="50"/>
  <c r="G108" i="50"/>
  <c r="I108" i="50"/>
  <c r="K108" i="50"/>
  <c r="G110" i="50"/>
  <c r="I110" i="50"/>
  <c r="K110" i="50"/>
  <c r="F117" i="50"/>
  <c r="H117" i="50"/>
  <c r="J117" i="50"/>
  <c r="F118" i="50"/>
  <c r="H118" i="50"/>
  <c r="J118" i="50"/>
  <c r="F119" i="50"/>
  <c r="H119" i="50"/>
  <c r="J119" i="50"/>
  <c r="G120" i="50"/>
  <c r="K120" i="50"/>
  <c r="F121" i="50"/>
  <c r="H121" i="50"/>
  <c r="J121" i="50"/>
  <c r="G61" i="50"/>
  <c r="I61" i="50"/>
  <c r="F81" i="50"/>
  <c r="H81" i="50"/>
  <c r="J81" i="50"/>
  <c r="J87" i="50"/>
  <c r="F91" i="50"/>
  <c r="K101" i="50"/>
  <c r="G107" i="50"/>
  <c r="I107" i="50"/>
  <c r="B112" i="50" s="1"/>
  <c r="C112" i="50" s="1"/>
  <c r="K107" i="50"/>
  <c r="F108" i="50"/>
  <c r="H108" i="50"/>
  <c r="J108" i="50"/>
  <c r="G109" i="50"/>
  <c r="I109" i="50"/>
  <c r="K109" i="50"/>
  <c r="G117" i="50"/>
  <c r="I117" i="50"/>
  <c r="B122" i="50" s="1"/>
  <c r="C122" i="50" s="1"/>
  <c r="K117" i="50"/>
  <c r="G118" i="50"/>
  <c r="I118" i="50"/>
  <c r="K118" i="50"/>
  <c r="G119" i="50"/>
  <c r="I119" i="50"/>
  <c r="F120" i="50"/>
  <c r="I100" i="50"/>
  <c r="H87" i="50"/>
  <c r="F89" i="50"/>
  <c r="J89" i="50"/>
  <c r="H91" i="50"/>
  <c r="K81" i="50"/>
  <c r="K69" i="50"/>
  <c r="G58" i="50"/>
  <c r="I59" i="50"/>
  <c r="I60" i="50"/>
  <c r="G88" i="50"/>
  <c r="I88" i="50"/>
  <c r="K88" i="50"/>
  <c r="G90" i="50"/>
  <c r="I90" i="50"/>
  <c r="K90" i="50"/>
  <c r="F97" i="50"/>
  <c r="H97" i="50"/>
  <c r="J97" i="50"/>
  <c r="F98" i="50"/>
  <c r="H98" i="50"/>
  <c r="J98" i="50"/>
  <c r="F99" i="50"/>
  <c r="H99" i="50"/>
  <c r="J99" i="50"/>
  <c r="G100" i="50"/>
  <c r="K100" i="50"/>
  <c r="F101" i="50"/>
  <c r="H101" i="50"/>
  <c r="J101" i="50"/>
  <c r="G51" i="50"/>
  <c r="I51" i="50"/>
  <c r="K51" i="50"/>
  <c r="K79" i="50"/>
  <c r="I69" i="50"/>
  <c r="I57" i="50"/>
  <c r="B62" i="50" s="1"/>
  <c r="C62" i="50" s="1"/>
  <c r="K58" i="50"/>
  <c r="K61" i="50"/>
  <c r="G87" i="50"/>
  <c r="I87" i="50"/>
  <c r="B92" i="50" s="1"/>
  <c r="C92" i="50" s="1"/>
  <c r="K87" i="50"/>
  <c r="F88" i="50"/>
  <c r="H88" i="50"/>
  <c r="J88" i="50"/>
  <c r="G89" i="50"/>
  <c r="I89" i="50"/>
  <c r="K89" i="50"/>
  <c r="G97" i="50"/>
  <c r="I97" i="50"/>
  <c r="B102" i="50" s="1"/>
  <c r="C102" i="50" s="1"/>
  <c r="K97" i="50"/>
  <c r="G98" i="50"/>
  <c r="I98" i="50"/>
  <c r="K98" i="50"/>
  <c r="G99" i="50"/>
  <c r="I99" i="50"/>
  <c r="F100" i="50"/>
  <c r="K80" i="50"/>
  <c r="F77" i="50"/>
  <c r="H77" i="50"/>
  <c r="J77" i="50"/>
  <c r="F78" i="50"/>
  <c r="H78" i="50"/>
  <c r="J78" i="50"/>
  <c r="F79" i="50"/>
  <c r="H79" i="50"/>
  <c r="J79" i="50"/>
  <c r="F80" i="50"/>
  <c r="H80" i="50"/>
  <c r="J80" i="50"/>
  <c r="G77" i="50"/>
  <c r="I77" i="50"/>
  <c r="K77" i="50"/>
  <c r="G78" i="50"/>
  <c r="I78" i="50"/>
  <c r="K78" i="50"/>
  <c r="G79" i="50"/>
  <c r="I79" i="50"/>
  <c r="G80" i="50"/>
  <c r="I80" i="50"/>
  <c r="I67" i="50"/>
  <c r="I71" i="50"/>
  <c r="G67" i="50"/>
  <c r="G69" i="50"/>
  <c r="G71" i="50"/>
  <c r="K67" i="50"/>
  <c r="K71" i="50"/>
  <c r="F68" i="50"/>
  <c r="H68" i="50"/>
  <c r="J68" i="50"/>
  <c r="F70" i="50"/>
  <c r="H70" i="50"/>
  <c r="J70" i="50"/>
  <c r="F67" i="50"/>
  <c r="H67" i="50"/>
  <c r="J67" i="50"/>
  <c r="G68" i="50"/>
  <c r="I68" i="50"/>
  <c r="F69" i="50"/>
  <c r="H69" i="50"/>
  <c r="J69" i="50"/>
  <c r="K68" i="50"/>
  <c r="G57" i="50"/>
  <c r="K57" i="50"/>
  <c r="I58" i="50"/>
  <c r="G59" i="50"/>
  <c r="G60" i="50"/>
  <c r="F61" i="50"/>
  <c r="F57" i="50"/>
  <c r="H57" i="50"/>
  <c r="J57" i="50"/>
  <c r="F58" i="50"/>
  <c r="H58" i="50"/>
  <c r="J58" i="50"/>
  <c r="F59" i="50"/>
  <c r="H59" i="50"/>
  <c r="J59" i="50"/>
  <c r="K60" i="50"/>
  <c r="H60" i="50"/>
  <c r="J60" i="50"/>
  <c r="F48" i="50"/>
  <c r="J48" i="50"/>
  <c r="H50" i="50"/>
  <c r="H48" i="50"/>
  <c r="F50" i="50"/>
  <c r="J50" i="50"/>
  <c r="F47" i="50"/>
  <c r="H47" i="50"/>
  <c r="J47" i="50"/>
  <c r="G48" i="50"/>
  <c r="I48" i="50"/>
  <c r="F49" i="50"/>
  <c r="H49" i="50"/>
  <c r="J49" i="50"/>
  <c r="G50" i="50"/>
  <c r="I50" i="50"/>
  <c r="K48" i="50"/>
  <c r="K50" i="50"/>
  <c r="G47" i="50"/>
  <c r="I47" i="50"/>
  <c r="G49" i="50"/>
  <c r="I49" i="50"/>
  <c r="K47" i="50"/>
  <c r="K49" i="50"/>
  <c r="B72" i="50"/>
  <c r="C72" i="50" s="1"/>
  <c r="B82" i="50"/>
  <c r="C82" i="50" s="1"/>
  <c r="E25" i="50"/>
  <c r="E27" i="50"/>
  <c r="E29" i="50"/>
  <c r="D26" i="50"/>
  <c r="D28" i="50"/>
  <c r="D30" i="50"/>
  <c r="C25" i="50"/>
  <c r="C27" i="50"/>
  <c r="C29" i="50"/>
  <c r="B52" i="50"/>
  <c r="C52" i="50" s="1"/>
  <c r="E26" i="50"/>
  <c r="E28" i="50"/>
  <c r="E30" i="50"/>
  <c r="D13" i="50"/>
  <c r="F13" i="50" s="1"/>
  <c r="C13" i="50" s="1"/>
  <c r="J13" i="50" s="1"/>
  <c r="D14" i="50"/>
  <c r="F14" i="50" s="1"/>
  <c r="C14" i="50" s="1"/>
  <c r="J14" i="50" s="1"/>
  <c r="S74" i="13"/>
  <c r="S37" i="13"/>
  <c r="K14" i="50"/>
  <c r="H14" i="50"/>
  <c r="H19" i="50" s="1"/>
  <c r="J6" i="50"/>
  <c r="G6" i="50"/>
  <c r="K13" i="50"/>
  <c r="J12" i="50"/>
  <c r="K12" i="50"/>
  <c r="K11" i="50"/>
  <c r="K4" i="50"/>
  <c r="J11" i="50"/>
  <c r="C21" i="47"/>
  <c r="G36" i="13"/>
  <c r="G74" i="13"/>
  <c r="G34" i="13"/>
  <c r="G76" i="13"/>
  <c r="G75" i="13"/>
  <c r="I75" i="13"/>
  <c r="G35" i="13"/>
  <c r="I35" i="13"/>
  <c r="S75" i="13"/>
  <c r="S35" i="13"/>
  <c r="K60" i="23"/>
  <c r="K61" i="23"/>
  <c r="K62" i="23"/>
  <c r="K63" i="23"/>
  <c r="K64" i="23"/>
  <c r="K65" i="23"/>
  <c r="I60" i="23"/>
  <c r="I61" i="23"/>
  <c r="I62" i="23"/>
  <c r="I63" i="23"/>
  <c r="I64" i="23"/>
  <c r="I65" i="23"/>
  <c r="G66" i="23"/>
  <c r="H66" i="23" s="1"/>
  <c r="G67" i="23"/>
  <c r="H67" i="23" s="1"/>
  <c r="G68" i="23"/>
  <c r="H68" i="23" s="1"/>
  <c r="G69" i="23"/>
  <c r="H69" i="23" s="1"/>
  <c r="E46" i="23"/>
  <c r="G46" i="23" s="1"/>
  <c r="H46" i="23" s="1"/>
  <c r="G48" i="23"/>
  <c r="H48" i="23" s="1"/>
  <c r="E50" i="23"/>
  <c r="G50" i="23" s="1"/>
  <c r="H50" i="23" s="1"/>
  <c r="G52" i="23"/>
  <c r="H52" i="23" s="1"/>
  <c r="E54" i="23"/>
  <c r="G54" i="23" s="1"/>
  <c r="H54" i="23" s="1"/>
  <c r="S56" i="23"/>
  <c r="K48" i="23"/>
  <c r="I48" i="23"/>
  <c r="J48" i="23"/>
  <c r="E49" i="23"/>
  <c r="G49" i="23" s="1"/>
  <c r="H49" i="23" s="1"/>
  <c r="K52" i="23"/>
  <c r="I52" i="23"/>
  <c r="J52" i="23"/>
  <c r="G47" i="23"/>
  <c r="H47" i="23" s="1"/>
  <c r="G51" i="23"/>
  <c r="H51" i="23" s="1"/>
  <c r="G53" i="23"/>
  <c r="H53" i="23" s="1"/>
  <c r="G55" i="23"/>
  <c r="H55" i="23" s="1"/>
  <c r="E32" i="23"/>
  <c r="G32" i="23" s="1"/>
  <c r="H32" i="23" s="1"/>
  <c r="S42" i="23"/>
  <c r="G34" i="23"/>
  <c r="H34" i="23" s="1"/>
  <c r="K34" i="23" s="1"/>
  <c r="E36" i="23"/>
  <c r="G36" i="23" s="1"/>
  <c r="H36" i="23" s="1"/>
  <c r="G38" i="23"/>
  <c r="H38" i="23" s="1"/>
  <c r="K38" i="23" s="1"/>
  <c r="E40" i="23"/>
  <c r="G40" i="23" s="1"/>
  <c r="H40" i="23" s="1"/>
  <c r="I34" i="23"/>
  <c r="G33" i="23"/>
  <c r="H33" i="23" s="1"/>
  <c r="I38" i="23"/>
  <c r="G35" i="23"/>
  <c r="H35" i="23" s="1"/>
  <c r="G37" i="23"/>
  <c r="H37" i="23" s="1"/>
  <c r="G39" i="23"/>
  <c r="H39" i="23" s="1"/>
  <c r="G41" i="23"/>
  <c r="H41" i="23" s="1"/>
  <c r="E18" i="23"/>
  <c r="G18" i="23" s="1"/>
  <c r="H18" i="23" s="1"/>
  <c r="C19" i="23"/>
  <c r="E19" i="23" s="1"/>
  <c r="S19" i="23"/>
  <c r="AA6" i="16"/>
  <c r="AA9" i="16"/>
  <c r="AA7" i="16"/>
  <c r="AA10" i="16"/>
  <c r="O33" i="13"/>
  <c r="N34" i="13"/>
  <c r="O34" i="13"/>
  <c r="O73" i="13"/>
  <c r="O74" i="13"/>
  <c r="K89" i="13"/>
  <c r="M89" i="13" s="1"/>
  <c r="M88" i="13"/>
  <c r="L88" i="13"/>
  <c r="L89" i="13" s="1"/>
  <c r="Q75" i="13"/>
  <c r="E5" i="46"/>
  <c r="F5" i="46" s="1"/>
  <c r="F9" i="46"/>
  <c r="H9" i="46" s="1"/>
  <c r="H6" i="46"/>
  <c r="G6" i="46"/>
  <c r="H4" i="45"/>
  <c r="H5" i="45"/>
  <c r="I5" i="45" s="1"/>
  <c r="H6" i="45"/>
  <c r="I6" i="45"/>
  <c r="J45" i="42"/>
  <c r="K54" i="42"/>
  <c r="G59" i="42"/>
  <c r="G80" i="42"/>
  <c r="L80" i="42" s="1"/>
  <c r="G82" i="42"/>
  <c r="L82" i="42" s="1"/>
  <c r="G84" i="42"/>
  <c r="L84" i="42" s="1"/>
  <c r="G71" i="42"/>
  <c r="L71" i="42" s="1"/>
  <c r="G73" i="42"/>
  <c r="L73" i="42" s="1"/>
  <c r="G75" i="42"/>
  <c r="L75" i="42" s="1"/>
  <c r="G77" i="42"/>
  <c r="L77" i="42" s="1"/>
  <c r="G72" i="42"/>
  <c r="L72" i="42" s="1"/>
  <c r="G74" i="42"/>
  <c r="L74" i="42" s="1"/>
  <c r="G76" i="42"/>
  <c r="L76" i="42" s="1"/>
  <c r="G78" i="42"/>
  <c r="L78" i="42" s="1"/>
  <c r="G81" i="42"/>
  <c r="L81" i="42" s="1"/>
  <c r="G83" i="42"/>
  <c r="L83" i="42" s="1"/>
  <c r="G85" i="42"/>
  <c r="L85" i="42" s="1"/>
  <c r="G60" i="42"/>
  <c r="G58" i="42"/>
  <c r="G64" i="42"/>
  <c r="L64" i="42" s="1"/>
  <c r="G66" i="42"/>
  <c r="L66" i="42" s="1"/>
  <c r="G68" i="42"/>
  <c r="L68" i="42" s="1"/>
  <c r="G65" i="42"/>
  <c r="L65" i="42" s="1"/>
  <c r="G67" i="42"/>
  <c r="L67" i="42" s="1"/>
  <c r="G69" i="42"/>
  <c r="L69" i="42" s="1"/>
  <c r="G32" i="42"/>
  <c r="G37" i="42"/>
  <c r="L37" i="42" s="1"/>
  <c r="G39" i="42"/>
  <c r="L39" i="42" s="1"/>
  <c r="G41" i="42"/>
  <c r="L41" i="42" s="1"/>
  <c r="G36" i="42"/>
  <c r="L36" i="42" s="1"/>
  <c r="G38" i="42"/>
  <c r="L38" i="42" s="1"/>
  <c r="G40" i="42"/>
  <c r="L40" i="42" s="1"/>
  <c r="G31" i="40"/>
  <c r="I31" i="40"/>
  <c r="I32" i="40"/>
  <c r="I37" i="40"/>
  <c r="I36" i="40"/>
  <c r="I35" i="40"/>
  <c r="I34" i="40"/>
  <c r="G32" i="40"/>
  <c r="C46" i="41"/>
  <c r="Z3" i="16"/>
  <c r="Z6" i="16" s="1"/>
  <c r="Z21" i="16"/>
  <c r="AA4" i="16"/>
  <c r="AA5" i="16"/>
  <c r="AA8" i="16"/>
  <c r="AA11" i="16"/>
  <c r="AA12" i="16"/>
  <c r="AA20" i="16"/>
  <c r="AA21" i="16"/>
  <c r="AA22" i="16"/>
  <c r="AA28" i="16"/>
  <c r="AA29" i="16"/>
  <c r="AA30" i="16"/>
  <c r="AA31" i="16"/>
  <c r="E17" i="40"/>
  <c r="E22" i="40"/>
  <c r="D22" i="40"/>
  <c r="C22" i="40"/>
  <c r="B22" i="40"/>
  <c r="C11" i="40"/>
  <c r="C10" i="40"/>
  <c r="D11" i="40"/>
  <c r="D10" i="40"/>
  <c r="D17" i="40"/>
  <c r="C19" i="40"/>
  <c r="D19" i="40" s="1"/>
  <c r="C18" i="40"/>
  <c r="D18" i="40" s="1"/>
  <c r="C17" i="40"/>
  <c r="C5" i="40"/>
  <c r="C6" i="40" s="1"/>
  <c r="C7" i="40" s="1"/>
  <c r="B5" i="40"/>
  <c r="B6" i="40" s="1"/>
  <c r="B7" i="40" s="1"/>
  <c r="B60" i="39"/>
  <c r="B61" i="39" s="1"/>
  <c r="B62" i="39" s="1"/>
  <c r="B63" i="39" s="1"/>
  <c r="B64" i="39" s="1"/>
  <c r="B65" i="39" s="1"/>
  <c r="B66" i="39" s="1"/>
  <c r="B67" i="39" s="1"/>
  <c r="B68" i="39" s="1"/>
  <c r="B69" i="39" s="1"/>
  <c r="B70" i="39" s="1"/>
  <c r="B71" i="39" s="1"/>
  <c r="B72" i="39" s="1"/>
  <c r="B73" i="39" s="1"/>
  <c r="B74" i="39" s="1"/>
  <c r="B75" i="39" s="1"/>
  <c r="B76" i="39" s="1"/>
  <c r="B77" i="39" s="1"/>
  <c r="B78" i="39" s="1"/>
  <c r="B79" i="39" s="1"/>
  <c r="B80" i="39" s="1"/>
  <c r="B81" i="39" s="1"/>
  <c r="B82" i="39" s="1"/>
  <c r="B83" i="39" s="1"/>
  <c r="B84" i="39" s="1"/>
  <c r="B85" i="39" s="1"/>
  <c r="B86" i="39" s="1"/>
  <c r="B87" i="39" s="1"/>
  <c r="B88" i="39" s="1"/>
  <c r="B89" i="39" s="1"/>
  <c r="B90" i="39" s="1"/>
  <c r="B91" i="39" s="1"/>
  <c r="B92" i="39" s="1"/>
  <c r="B93" i="39" s="1"/>
  <c r="B94" i="39" s="1"/>
  <c r="B95" i="39" s="1"/>
  <c r="B96" i="39" s="1"/>
  <c r="B97" i="39" s="1"/>
  <c r="B98" i="39" s="1"/>
  <c r="B99" i="39" s="1"/>
  <c r="B100" i="39" s="1"/>
  <c r="B101" i="39" s="1"/>
  <c r="B102" i="39" s="1"/>
  <c r="B103" i="39" s="1"/>
  <c r="B59" i="39"/>
  <c r="B58" i="39"/>
  <c r="K54" i="39" a="1"/>
  <c r="K54" i="39" s="1"/>
  <c r="J54" i="39" a="1"/>
  <c r="J54" i="39" s="1"/>
  <c r="I54" i="39" a="1"/>
  <c r="I54" i="39" s="1"/>
  <c r="H54" i="39" a="1"/>
  <c r="H54" i="39" s="1"/>
  <c r="G54" i="39" a="1"/>
  <c r="G54" i="39" s="1"/>
  <c r="F54" i="39" a="1"/>
  <c r="F54" i="39" s="1"/>
  <c r="E54" i="39" a="1"/>
  <c r="E54" i="39" s="1"/>
  <c r="D54" i="39" a="1"/>
  <c r="D54" i="39" s="1"/>
  <c r="C54" i="39" a="1"/>
  <c r="C54" i="39" s="1"/>
  <c r="B54" i="39" a="1"/>
  <c r="B54" i="39" s="1"/>
  <c r="K53" i="39"/>
  <c r="J53" i="39"/>
  <c r="I53" i="39"/>
  <c r="H53" i="39"/>
  <c r="G53" i="39"/>
  <c r="F53" i="39"/>
  <c r="E53" i="39"/>
  <c r="D53" i="39"/>
  <c r="C53" i="39"/>
  <c r="B53" i="39"/>
  <c r="K52" i="39"/>
  <c r="J52" i="39"/>
  <c r="I52" i="39"/>
  <c r="H52" i="39"/>
  <c r="G52" i="39"/>
  <c r="F52" i="39"/>
  <c r="E52" i="39"/>
  <c r="D52" i="39"/>
  <c r="C52" i="39"/>
  <c r="B52" i="39"/>
  <c r="D7" i="36"/>
  <c r="D6" i="36"/>
  <c r="D5" i="36"/>
  <c r="D14" i="36" s="1"/>
  <c r="D3" i="37"/>
  <c r="C3" i="37"/>
  <c r="B3" i="37"/>
  <c r="E8" i="36"/>
  <c r="E5" i="36"/>
  <c r="E4" i="36"/>
  <c r="E3" i="36"/>
  <c r="D12" i="36"/>
  <c r="L19" i="36"/>
  <c r="K19" i="36"/>
  <c r="J19" i="36"/>
  <c r="I19" i="36"/>
  <c r="H19" i="36"/>
  <c r="G19" i="36"/>
  <c r="O14" i="36"/>
  <c r="N14" i="36"/>
  <c r="M14" i="36"/>
  <c r="L14" i="36"/>
  <c r="K14" i="36"/>
  <c r="J14" i="36"/>
  <c r="I14" i="36"/>
  <c r="H14" i="36"/>
  <c r="G14" i="36"/>
  <c r="F14" i="36"/>
  <c r="O13" i="36"/>
  <c r="N13" i="36"/>
  <c r="M13" i="36"/>
  <c r="L13" i="36"/>
  <c r="K13" i="36"/>
  <c r="J13" i="36"/>
  <c r="I13" i="36"/>
  <c r="H13" i="36"/>
  <c r="G13" i="36"/>
  <c r="F13" i="36"/>
  <c r="O12" i="36"/>
  <c r="N12" i="36"/>
  <c r="M12" i="36"/>
  <c r="L12" i="36"/>
  <c r="K12" i="36"/>
  <c r="J12" i="36"/>
  <c r="I12" i="36"/>
  <c r="H12" i="36"/>
  <c r="G12" i="36"/>
  <c r="F12" i="36"/>
  <c r="O17" i="36"/>
  <c r="O19" i="36" s="1"/>
  <c r="N17" i="36"/>
  <c r="N19" i="36" s="1"/>
  <c r="M17" i="36"/>
  <c r="M19" i="36" s="1"/>
  <c r="F17" i="36"/>
  <c r="F19" i="36" s="1"/>
  <c r="B36" i="35"/>
  <c r="B37" i="35"/>
  <c r="B12" i="35"/>
  <c r="B17" i="35"/>
  <c r="B19" i="35"/>
  <c r="B34" i="35"/>
  <c r="A34" i="35"/>
  <c r="B32" i="35"/>
  <c r="B30" i="35"/>
  <c r="A30" i="35"/>
  <c r="L28" i="35"/>
  <c r="B28" i="35"/>
  <c r="A28" i="35"/>
  <c r="L27" i="35"/>
  <c r="B27" i="35"/>
  <c r="A27" i="35"/>
  <c r="L26" i="35"/>
  <c r="B26" i="35"/>
  <c r="A26" i="35"/>
  <c r="A24" i="35"/>
  <c r="L25" i="35"/>
  <c r="B25" i="35"/>
  <c r="A25" i="35"/>
  <c r="H19" i="35"/>
  <c r="G19" i="35"/>
  <c r="F19" i="35"/>
  <c r="E19" i="35"/>
  <c r="D19" i="35"/>
  <c r="C19" i="35"/>
  <c r="K15" i="35"/>
  <c r="J15" i="35"/>
  <c r="I15" i="35"/>
  <c r="B15" i="35"/>
  <c r="K11" i="35"/>
  <c r="J11" i="35"/>
  <c r="I11" i="35"/>
  <c r="H11" i="35"/>
  <c r="G11" i="35"/>
  <c r="F11" i="35"/>
  <c r="E11" i="35"/>
  <c r="D11" i="35"/>
  <c r="C11" i="35"/>
  <c r="B11" i="35"/>
  <c r="K10" i="35"/>
  <c r="J10" i="35"/>
  <c r="I10" i="35"/>
  <c r="H10" i="35"/>
  <c r="G10" i="35"/>
  <c r="F10" i="35"/>
  <c r="E10" i="35"/>
  <c r="D10" i="35"/>
  <c r="C10" i="35"/>
  <c r="B10" i="35"/>
  <c r="C15" i="35"/>
  <c r="K8" i="35"/>
  <c r="J8" i="35"/>
  <c r="J16" i="35" s="1"/>
  <c r="J19" i="35" s="1"/>
  <c r="I8" i="35"/>
  <c r="B8" i="35"/>
  <c r="B16" i="35" s="1"/>
  <c r="O23" i="13"/>
  <c r="O22" i="13"/>
  <c r="S63" i="13"/>
  <c r="S62" i="13"/>
  <c r="S23" i="13"/>
  <c r="S22" i="13"/>
  <c r="S66" i="13"/>
  <c r="S65" i="13"/>
  <c r="S64" i="13"/>
  <c r="S26" i="13"/>
  <c r="S25" i="13"/>
  <c r="S24" i="13"/>
  <c r="O64" i="13"/>
  <c r="O24" i="13"/>
  <c r="D62" i="24"/>
  <c r="B62" i="24"/>
  <c r="A62" i="24"/>
  <c r="F64" i="13"/>
  <c r="F63" i="13"/>
  <c r="F62" i="13"/>
  <c r="F22" i="13"/>
  <c r="F24" i="13"/>
  <c r="F23" i="13"/>
  <c r="D61" i="24"/>
  <c r="B61" i="24"/>
  <c r="A61" i="24"/>
  <c r="E343" i="10"/>
  <c r="D343" i="10"/>
  <c r="D60" i="24"/>
  <c r="B60" i="24"/>
  <c r="A60" i="24"/>
  <c r="Q202" i="32"/>
  <c r="Q203" i="32" s="1"/>
  <c r="Q204" i="32" s="1"/>
  <c r="Q205" i="32" s="1"/>
  <c r="Q206" i="32" s="1"/>
  <c r="Q207" i="32" s="1"/>
  <c r="Q208" i="32" s="1"/>
  <c r="Q209" i="32" s="1"/>
  <c r="Q210" i="32" s="1"/>
  <c r="Q211" i="32" s="1"/>
  <c r="Q212" i="32" s="1"/>
  <c r="Q213" i="32" s="1"/>
  <c r="Q214" i="32" s="1"/>
  <c r="Q215" i="32" s="1"/>
  <c r="Q216" i="32" s="1"/>
  <c r="Q217" i="32" s="1"/>
  <c r="Q218" i="32" s="1"/>
  <c r="Q219" i="32" s="1"/>
  <c r="Q220" i="32" s="1"/>
  <c r="Q221" i="32" s="1"/>
  <c r="Q222" i="32" s="1"/>
  <c r="Q223" i="32" s="1"/>
  <c r="Q224" i="32" s="1"/>
  <c r="Q225" i="32" s="1"/>
  <c r="Q6" i="32"/>
  <c r="Q7" i="32" s="1"/>
  <c r="Q8" i="32" s="1"/>
  <c r="Q9" i="32" s="1"/>
  <c r="Q10" i="32" s="1"/>
  <c r="Q11" i="32" s="1"/>
  <c r="Q12" i="32" s="1"/>
  <c r="Q13" i="32" s="1"/>
  <c r="Q14" i="32" s="1"/>
  <c r="Q15" i="32" s="1"/>
  <c r="Q16" i="32" s="1"/>
  <c r="Q17" i="32" s="1"/>
  <c r="Q18" i="32" s="1"/>
  <c r="Q19" i="32" s="1"/>
  <c r="Q20" i="32" s="1"/>
  <c r="Q21" i="32" s="1"/>
  <c r="Q22" i="32" s="1"/>
  <c r="Q23" i="32" s="1"/>
  <c r="Q24" i="32" s="1"/>
  <c r="Q25" i="32" s="1"/>
  <c r="Q26" i="32" s="1"/>
  <c r="Q27" i="32" s="1"/>
  <c r="Q28" i="32" s="1"/>
  <c r="Q29" i="32" s="1"/>
  <c r="Q30" i="32" s="1"/>
  <c r="Q31" i="32" s="1"/>
  <c r="Q32" i="32" s="1"/>
  <c r="Q33" i="32" s="1"/>
  <c r="Q34" i="32" s="1"/>
  <c r="Q35" i="32" s="1"/>
  <c r="Q36" i="32" s="1"/>
  <c r="Q37" i="32" s="1"/>
  <c r="Q38" i="32" s="1"/>
  <c r="Q39" i="32" s="1"/>
  <c r="Q40" i="32" s="1"/>
  <c r="Q41" i="32" s="1"/>
  <c r="Q42" i="32" s="1"/>
  <c r="Q43" i="32" s="1"/>
  <c r="Q44" i="32" s="1"/>
  <c r="Q45" i="32" s="1"/>
  <c r="Q46" i="32" s="1"/>
  <c r="Q47" i="32" s="1"/>
  <c r="Q48" i="32" s="1"/>
  <c r="Q49" i="32" s="1"/>
  <c r="Q50" i="32" s="1"/>
  <c r="Q51" i="32" s="1"/>
  <c r="Q52" i="32" s="1"/>
  <c r="Q53" i="32" s="1"/>
  <c r="Q54" i="32" s="1"/>
  <c r="Q55" i="32" s="1"/>
  <c r="Q56" i="32" s="1"/>
  <c r="Q57" i="32" s="1"/>
  <c r="Q58" i="32" s="1"/>
  <c r="Q59" i="32" s="1"/>
  <c r="Q60" i="32" s="1"/>
  <c r="Q61" i="32" s="1"/>
  <c r="Q62" i="32" s="1"/>
  <c r="Q63" i="32" s="1"/>
  <c r="Q64" i="32" s="1"/>
  <c r="Q65" i="32" s="1"/>
  <c r="Q66" i="32" s="1"/>
  <c r="Q67" i="32" s="1"/>
  <c r="Q68" i="32" s="1"/>
  <c r="Q69" i="32" s="1"/>
  <c r="Q70" i="32" s="1"/>
  <c r="Q71" i="32" s="1"/>
  <c r="Q72" i="32" s="1"/>
  <c r="Q73" i="32" s="1"/>
  <c r="Q74" i="32" s="1"/>
  <c r="Q75" i="32" s="1"/>
  <c r="Q76" i="32" s="1"/>
  <c r="Q77" i="32" s="1"/>
  <c r="Q78" i="32" s="1"/>
  <c r="Q79" i="32" s="1"/>
  <c r="Q80" i="32" s="1"/>
  <c r="Q81" i="32" s="1"/>
  <c r="Q82" i="32" s="1"/>
  <c r="Q83" i="32" s="1"/>
  <c r="Q84" i="32" s="1"/>
  <c r="Q85" i="32" s="1"/>
  <c r="Q86" i="32" s="1"/>
  <c r="Q87" i="32" s="1"/>
  <c r="Q88" i="32" s="1"/>
  <c r="Q89" i="32" s="1"/>
  <c r="Q90" i="32" s="1"/>
  <c r="Q91" i="32" s="1"/>
  <c r="Q92" i="32" s="1"/>
  <c r="Q93" i="32" s="1"/>
  <c r="Q94" i="32" s="1"/>
  <c r="Q95" i="32" s="1"/>
  <c r="Q96" i="32" s="1"/>
  <c r="Q97" i="32" s="1"/>
  <c r="Q98" i="32" s="1"/>
  <c r="Q99" i="32" s="1"/>
  <c r="Q100" i="32" s="1"/>
  <c r="Q101" i="32" s="1"/>
  <c r="Q102" i="32" s="1"/>
  <c r="Q103" i="32" s="1"/>
  <c r="Q104" i="32" s="1"/>
  <c r="Q105" i="32" s="1"/>
  <c r="Q106" i="32" s="1"/>
  <c r="Q107" i="32" s="1"/>
  <c r="Q108" i="32" s="1"/>
  <c r="Q109" i="32" s="1"/>
  <c r="Q110" i="32" s="1"/>
  <c r="Q111" i="32" s="1"/>
  <c r="Q112" i="32" s="1"/>
  <c r="Q113" i="32" s="1"/>
  <c r="Q114" i="32" s="1"/>
  <c r="Q115" i="32" s="1"/>
  <c r="Q116" i="32" s="1"/>
  <c r="Q117" i="32" s="1"/>
  <c r="Q118" i="32" s="1"/>
  <c r="Q119" i="32" s="1"/>
  <c r="Q120" i="32" s="1"/>
  <c r="Q121" i="32" s="1"/>
  <c r="Q122" i="32" s="1"/>
  <c r="Q123" i="32" s="1"/>
  <c r="Q124" i="32" s="1"/>
  <c r="Q125" i="32" s="1"/>
  <c r="Q126" i="32" s="1"/>
  <c r="Q128" i="32" s="1"/>
  <c r="Q129" i="32" s="1"/>
  <c r="Q130" i="32" s="1"/>
  <c r="Q131" i="32" s="1"/>
  <c r="Q132" i="32" s="1"/>
  <c r="Q133" i="32" s="1"/>
  <c r="Q134" i="32" s="1"/>
  <c r="Q135" i="32" s="1"/>
  <c r="Q136" i="32" s="1"/>
  <c r="Q137" i="32" s="1"/>
  <c r="Q138" i="32" s="1"/>
  <c r="Q139" i="32" s="1"/>
  <c r="Q140" i="32" s="1"/>
  <c r="Q141" i="32" s="1"/>
  <c r="Q142" i="32" s="1"/>
  <c r="Q143" i="32" s="1"/>
  <c r="Q144" i="32" s="1"/>
  <c r="Q145" i="32" s="1"/>
  <c r="Q146" i="32" s="1"/>
  <c r="Q147" i="32" s="1"/>
  <c r="Q148" i="32" s="1"/>
  <c r="Q149" i="32" s="1"/>
  <c r="Q150" i="32" s="1"/>
  <c r="Q151" i="32" s="1"/>
  <c r="Q152" i="32" s="1"/>
  <c r="Q153" i="32" s="1"/>
  <c r="Q154" i="32" s="1"/>
  <c r="Q155" i="32" s="1"/>
  <c r="Q156" i="32" s="1"/>
  <c r="Q157" i="32" s="1"/>
  <c r="Q158" i="32" s="1"/>
  <c r="Q159" i="32" s="1"/>
  <c r="Q160" i="32" s="1"/>
  <c r="Q161" i="32" s="1"/>
  <c r="Q162" i="32" s="1"/>
  <c r="Q163" i="32" s="1"/>
  <c r="Q165" i="32" s="1"/>
  <c r="Q166" i="32" s="1"/>
  <c r="Q167" i="32" s="1"/>
  <c r="Q168" i="32" s="1"/>
  <c r="Q169" i="32" s="1"/>
  <c r="Q170" i="32" s="1"/>
  <c r="Q171" i="32" s="1"/>
  <c r="Q172" i="32" s="1"/>
  <c r="Q173" i="32" s="1"/>
  <c r="Q174" i="32" s="1"/>
  <c r="Q175" i="32" s="1"/>
  <c r="Q176" i="32" s="1"/>
  <c r="Q177" i="32" s="1"/>
  <c r="Q178" i="32" s="1"/>
  <c r="Q179" i="32" s="1"/>
  <c r="Q180" i="32" s="1"/>
  <c r="Q181" i="32" s="1"/>
  <c r="Q182" i="32" s="1"/>
  <c r="Q183" i="32" s="1"/>
  <c r="Q184" i="32" s="1"/>
  <c r="Q185" i="32" s="1"/>
  <c r="Q186" i="32" s="1"/>
  <c r="Q188" i="32" s="1"/>
  <c r="Q189" i="32" s="1"/>
  <c r="Q190" i="32" s="1"/>
  <c r="Q191" i="32" s="1"/>
  <c r="Q192" i="32" s="1"/>
  <c r="Q193" i="32" s="1"/>
  <c r="Q194" i="32" s="1"/>
  <c r="Q195" i="32" s="1"/>
  <c r="Q196" i="32" s="1"/>
  <c r="Q197" i="32" s="1"/>
  <c r="Q198" i="32" s="1"/>
  <c r="Q199" i="32" s="1"/>
  <c r="Q200" i="32" s="1"/>
  <c r="C7" i="33"/>
  <c r="D7" i="33" s="1"/>
  <c r="E7" i="33" s="1"/>
  <c r="E9" i="34"/>
  <c r="E8" i="34"/>
  <c r="E5" i="34"/>
  <c r="D5" i="34"/>
  <c r="C5" i="34"/>
  <c r="B5" i="34"/>
  <c r="E11" i="34"/>
  <c r="E13" i="34" s="1"/>
  <c r="L30" i="34"/>
  <c r="L20" i="34"/>
  <c r="M20" i="34" s="1"/>
  <c r="K20" i="34"/>
  <c r="I20" i="34"/>
  <c r="C9" i="34"/>
  <c r="L19" i="34"/>
  <c r="M19" i="34" s="1"/>
  <c r="K19" i="34"/>
  <c r="B9" i="34"/>
  <c r="L18" i="34"/>
  <c r="M18" i="34" s="1"/>
  <c r="K18" i="34"/>
  <c r="L26" i="34"/>
  <c r="D11" i="34"/>
  <c r="C11" i="34"/>
  <c r="C13" i="34" s="1"/>
  <c r="C16" i="34" s="1"/>
  <c r="B11" i="34"/>
  <c r="S78" i="13" l="1"/>
  <c r="I76" i="13"/>
  <c r="C76" i="13"/>
  <c r="T36" i="13"/>
  <c r="U36" i="13" s="1"/>
  <c r="J19" i="50"/>
  <c r="T35" i="13"/>
  <c r="U35" i="13" s="1"/>
  <c r="S38" i="13"/>
  <c r="I36" i="13"/>
  <c r="O35" i="13"/>
  <c r="C36" i="13"/>
  <c r="K6" i="50"/>
  <c r="K19" i="50" s="1"/>
  <c r="G19" i="50"/>
  <c r="C22" i="47"/>
  <c r="C23" i="47" s="1"/>
  <c r="C24" i="47" s="1"/>
  <c r="C25" i="47" s="1"/>
  <c r="C26" i="47" s="1"/>
  <c r="C27" i="47" s="1"/>
  <c r="C28" i="47" s="1"/>
  <c r="C29" i="47" s="1"/>
  <c r="C30" i="47" s="1"/>
  <c r="C31" i="47" s="1"/>
  <c r="C32" i="47" s="1"/>
  <c r="C33" i="47" s="1"/>
  <c r="C34" i="47" s="1"/>
  <c r="C35" i="47" s="1"/>
  <c r="C36" i="47" s="1"/>
  <c r="C37" i="47" s="1"/>
  <c r="C38" i="47" s="1"/>
  <c r="C39" i="47" s="1"/>
  <c r="C40" i="47" s="1"/>
  <c r="C41" i="47" s="1"/>
  <c r="C42" i="47" s="1"/>
  <c r="C43" i="47" s="1"/>
  <c r="C44" i="47" s="1"/>
  <c r="C45" i="47" s="1"/>
  <c r="C46" i="47" s="1"/>
  <c r="C47" i="47" s="1"/>
  <c r="C48" i="47" s="1"/>
  <c r="C49" i="47" s="1"/>
  <c r="C50" i="47" s="1"/>
  <c r="C51" i="47" s="1"/>
  <c r="C52" i="47" s="1"/>
  <c r="C53" i="47" s="1"/>
  <c r="C54" i="47" s="1"/>
  <c r="C55" i="47" s="1"/>
  <c r="C56" i="47" s="1"/>
  <c r="C57" i="47" s="1"/>
  <c r="C58" i="47" s="1"/>
  <c r="C75" i="13"/>
  <c r="O75" i="13"/>
  <c r="C35" i="13"/>
  <c r="N75" i="13"/>
  <c r="M24" i="13"/>
  <c r="K24" i="13"/>
  <c r="N24" i="13"/>
  <c r="L24" i="13"/>
  <c r="Q62" i="13"/>
  <c r="N62" i="13"/>
  <c r="L62" i="13"/>
  <c r="M62" i="13"/>
  <c r="K62" i="13"/>
  <c r="Q64" i="13"/>
  <c r="N64" i="13"/>
  <c r="L64" i="13"/>
  <c r="M64" i="13"/>
  <c r="K64" i="13"/>
  <c r="Q74" i="13"/>
  <c r="N74" i="13"/>
  <c r="Q73" i="13"/>
  <c r="N73" i="13"/>
  <c r="M73" i="13"/>
  <c r="M33" i="13"/>
  <c r="N33" i="13"/>
  <c r="M23" i="13"/>
  <c r="K23" i="13"/>
  <c r="N23" i="13"/>
  <c r="L23" i="13"/>
  <c r="M22" i="13"/>
  <c r="K22" i="13"/>
  <c r="N22" i="13"/>
  <c r="L22" i="13"/>
  <c r="Q63" i="13"/>
  <c r="N63" i="13"/>
  <c r="L63" i="13"/>
  <c r="M63" i="13"/>
  <c r="K63" i="13"/>
  <c r="N35" i="13"/>
  <c r="E61" i="24"/>
  <c r="E60" i="24"/>
  <c r="J69" i="23"/>
  <c r="K69" i="23"/>
  <c r="I69" i="23"/>
  <c r="J67" i="23"/>
  <c r="K67" i="23"/>
  <c r="I67" i="23"/>
  <c r="M65" i="23"/>
  <c r="P65" i="23" s="1"/>
  <c r="T65" i="23" s="1"/>
  <c r="M63" i="23"/>
  <c r="P63" i="23" s="1"/>
  <c r="T63" i="23" s="1"/>
  <c r="M61" i="23"/>
  <c r="P61" i="23" s="1"/>
  <c r="T61" i="23" s="1"/>
  <c r="J68" i="23"/>
  <c r="K68" i="23"/>
  <c r="I68" i="23"/>
  <c r="J66" i="23"/>
  <c r="K66" i="23"/>
  <c r="I66" i="23"/>
  <c r="M64" i="23"/>
  <c r="P64" i="23" s="1"/>
  <c r="T64" i="23" s="1"/>
  <c r="Q64" i="23"/>
  <c r="U64" i="23" s="1"/>
  <c r="M62" i="23"/>
  <c r="P62" i="23" s="1"/>
  <c r="T62" i="23" s="1"/>
  <c r="M60" i="23"/>
  <c r="P60" i="23" s="1"/>
  <c r="T60" i="23" s="1"/>
  <c r="I54" i="23"/>
  <c r="K54" i="23"/>
  <c r="M54" i="23" s="1"/>
  <c r="P54" i="23" s="1"/>
  <c r="Q54" i="23" s="1"/>
  <c r="U54" i="23" s="1"/>
  <c r="J54" i="23"/>
  <c r="K50" i="23"/>
  <c r="M50" i="23" s="1"/>
  <c r="P50" i="23" s="1"/>
  <c r="Q50" i="23" s="1"/>
  <c r="U50" i="23" s="1"/>
  <c r="J50" i="23"/>
  <c r="I50" i="23"/>
  <c r="I46" i="23"/>
  <c r="K46" i="23"/>
  <c r="M46" i="23" s="1"/>
  <c r="P46" i="23" s="1"/>
  <c r="Q46" i="23" s="1"/>
  <c r="U46" i="23" s="1"/>
  <c r="J46" i="23"/>
  <c r="J49" i="23"/>
  <c r="K49" i="23"/>
  <c r="I49" i="23"/>
  <c r="J55" i="23"/>
  <c r="K55" i="23"/>
  <c r="I55" i="23"/>
  <c r="J51" i="23"/>
  <c r="K51" i="23"/>
  <c r="I51" i="23"/>
  <c r="M52" i="23"/>
  <c r="P52" i="23" s="1"/>
  <c r="Q52" i="23" s="1"/>
  <c r="U52" i="23" s="1"/>
  <c r="J53" i="23"/>
  <c r="K53" i="23"/>
  <c r="I53" i="23"/>
  <c r="J47" i="23"/>
  <c r="K47" i="23"/>
  <c r="I47" i="23"/>
  <c r="M48" i="23"/>
  <c r="P48" i="23" s="1"/>
  <c r="Q48" i="23" s="1"/>
  <c r="U48" i="23" s="1"/>
  <c r="I36" i="23"/>
  <c r="J36" i="23"/>
  <c r="K36" i="23"/>
  <c r="M36" i="23" s="1"/>
  <c r="P36" i="23" s="1"/>
  <c r="Q36" i="23" s="1"/>
  <c r="U36" i="23" s="1"/>
  <c r="I32" i="23"/>
  <c r="K32" i="23"/>
  <c r="M32" i="23" s="1"/>
  <c r="P32" i="23" s="1"/>
  <c r="J32" i="23"/>
  <c r="K40" i="23"/>
  <c r="J40" i="23"/>
  <c r="I40" i="23"/>
  <c r="J38" i="23"/>
  <c r="J34" i="23"/>
  <c r="J41" i="23"/>
  <c r="K41" i="23"/>
  <c r="I41" i="23"/>
  <c r="J37" i="23"/>
  <c r="K37" i="23"/>
  <c r="I37" i="23"/>
  <c r="M38" i="23"/>
  <c r="P38" i="23" s="1"/>
  <c r="Q38" i="23" s="1"/>
  <c r="U38" i="23" s="1"/>
  <c r="M40" i="23"/>
  <c r="P40" i="23" s="1"/>
  <c r="Q40" i="23" s="1"/>
  <c r="U40" i="23" s="1"/>
  <c r="M34" i="23"/>
  <c r="P34" i="23" s="1"/>
  <c r="Q34" i="23" s="1"/>
  <c r="U34" i="23" s="1"/>
  <c r="J39" i="23"/>
  <c r="K39" i="23"/>
  <c r="I39" i="23"/>
  <c r="J35" i="23"/>
  <c r="K35" i="23"/>
  <c r="I35" i="23"/>
  <c r="J33" i="23"/>
  <c r="K33" i="23"/>
  <c r="I33" i="23"/>
  <c r="J18" i="23"/>
  <c r="I18" i="23"/>
  <c r="K18" i="23"/>
  <c r="M18" i="23" s="1"/>
  <c r="P18" i="23" s="1"/>
  <c r="Q18" i="23" s="1"/>
  <c r="U18" i="23" s="1"/>
  <c r="G19" i="23"/>
  <c r="H19" i="23" s="1"/>
  <c r="J19" i="23" s="1"/>
  <c r="C20" i="23"/>
  <c r="S20" i="23"/>
  <c r="Z31" i="16"/>
  <c r="Z10" i="16"/>
  <c r="Z9" i="16"/>
  <c r="Z30" i="16"/>
  <c r="Z8" i="16"/>
  <c r="Z22" i="16"/>
  <c r="Z32" i="16"/>
  <c r="Z7" i="16"/>
  <c r="J34" i="13"/>
  <c r="H34" i="13"/>
  <c r="J33" i="13"/>
  <c r="H33" i="13"/>
  <c r="J35" i="13"/>
  <c r="H35" i="13"/>
  <c r="J74" i="13"/>
  <c r="H74" i="13"/>
  <c r="J73" i="13"/>
  <c r="H73" i="13"/>
  <c r="J75" i="13"/>
  <c r="H75" i="13"/>
  <c r="H5" i="46"/>
  <c r="G5" i="46"/>
  <c r="E8" i="46"/>
  <c r="F8" i="46" s="1"/>
  <c r="G9" i="46"/>
  <c r="Q22" i="13"/>
  <c r="Q23" i="13" s="1"/>
  <c r="Q24" i="13" s="1"/>
  <c r="Z11" i="16"/>
  <c r="Z28" i="16"/>
  <c r="Z12" i="16"/>
  <c r="Z4" i="16"/>
  <c r="Z29" i="16"/>
  <c r="Z20" i="16"/>
  <c r="Z5" i="16"/>
  <c r="I343" i="10"/>
  <c r="K343" i="10" s="1"/>
  <c r="S27" i="13"/>
  <c r="S68" i="13"/>
  <c r="S67" i="13"/>
  <c r="E14" i="36"/>
  <c r="E13" i="36"/>
  <c r="E12" i="36"/>
  <c r="I16" i="35"/>
  <c r="K16" i="35"/>
  <c r="K19" i="35" s="1"/>
  <c r="E62" i="24"/>
  <c r="D13" i="34"/>
  <c r="D16" i="34" s="1"/>
  <c r="B13" i="34"/>
  <c r="C15" i="34" s="1"/>
  <c r="E16" i="34"/>
  <c r="E15" i="34"/>
  <c r="D15" i="34"/>
  <c r="B15" i="34"/>
  <c r="C6" i="33"/>
  <c r="D6" i="33" s="1"/>
  <c r="E6" i="33" s="1"/>
  <c r="C78" i="13" l="1"/>
  <c r="O78" i="13"/>
  <c r="I78" i="13"/>
  <c r="G78" i="13"/>
  <c r="O77" i="13"/>
  <c r="C77" i="13"/>
  <c r="Q77" i="13"/>
  <c r="I77" i="13"/>
  <c r="G77" i="13"/>
  <c r="T37" i="13"/>
  <c r="U37" i="13" s="1"/>
  <c r="S39" i="13"/>
  <c r="I37" i="13"/>
  <c r="G37" i="13"/>
  <c r="O37" i="13"/>
  <c r="C37" i="13"/>
  <c r="C59" i="47"/>
  <c r="Q65" i="23"/>
  <c r="U65" i="23" s="1"/>
  <c r="Q63" i="23"/>
  <c r="U63" i="23" s="1"/>
  <c r="Q62" i="23"/>
  <c r="U62" i="23" s="1"/>
  <c r="Q61" i="23"/>
  <c r="U61" i="23" s="1"/>
  <c r="Q60" i="23"/>
  <c r="U60" i="23" s="1"/>
  <c r="M68" i="23"/>
  <c r="P68" i="23" s="1"/>
  <c r="T68" i="23" s="1"/>
  <c r="M69" i="23"/>
  <c r="P69" i="23" s="1"/>
  <c r="T69" i="23" s="1"/>
  <c r="M66" i="23"/>
  <c r="P66" i="23" s="1"/>
  <c r="T66" i="23" s="1"/>
  <c r="M67" i="23"/>
  <c r="P67" i="23" s="1"/>
  <c r="T67" i="23" s="1"/>
  <c r="M53" i="23"/>
  <c r="P53" i="23" s="1"/>
  <c r="Q53" i="23" s="1"/>
  <c r="U53" i="23" s="1"/>
  <c r="M55" i="23"/>
  <c r="P55" i="23" s="1"/>
  <c r="Q55" i="23" s="1"/>
  <c r="U55" i="23" s="1"/>
  <c r="M47" i="23"/>
  <c r="P47" i="23" s="1"/>
  <c r="Q47" i="23" s="1"/>
  <c r="U47" i="23" s="1"/>
  <c r="M51" i="23"/>
  <c r="P51" i="23" s="1"/>
  <c r="Q51" i="23" s="1"/>
  <c r="U51" i="23" s="1"/>
  <c r="M49" i="23"/>
  <c r="P49" i="23" s="1"/>
  <c r="Q49" i="23" s="1"/>
  <c r="U49" i="23" s="1"/>
  <c r="Q32" i="23"/>
  <c r="U32" i="23" s="1"/>
  <c r="M33" i="23"/>
  <c r="P33" i="23" s="1"/>
  <c r="Q33" i="23" s="1"/>
  <c r="U33" i="23" s="1"/>
  <c r="M39" i="23"/>
  <c r="P39" i="23" s="1"/>
  <c r="Q39" i="23" s="1"/>
  <c r="U39" i="23" s="1"/>
  <c r="M41" i="23"/>
  <c r="P41" i="23" s="1"/>
  <c r="Q41" i="23" s="1"/>
  <c r="U41" i="23" s="1"/>
  <c r="M35" i="23"/>
  <c r="P35" i="23" s="1"/>
  <c r="Q35" i="23" s="1"/>
  <c r="U35" i="23" s="1"/>
  <c r="M37" i="23"/>
  <c r="P37" i="23" s="1"/>
  <c r="Q37" i="23" s="1"/>
  <c r="U37" i="23" s="1"/>
  <c r="K19" i="23"/>
  <c r="M19" i="23" s="1"/>
  <c r="P19" i="23" s="1"/>
  <c r="Q19" i="23" s="1"/>
  <c r="U19" i="23" s="1"/>
  <c r="I19" i="23"/>
  <c r="E20" i="23"/>
  <c r="G20" i="23" s="1"/>
  <c r="H20" i="23" s="1"/>
  <c r="I20" i="23" s="1"/>
  <c r="G8" i="46"/>
  <c r="H8" i="46"/>
  <c r="S28" i="13"/>
  <c r="S69" i="13"/>
  <c r="S29" i="13"/>
  <c r="I19" i="35"/>
  <c r="B20" i="35" s="1"/>
  <c r="F61" i="13"/>
  <c r="C61" i="13"/>
  <c r="I21" i="13"/>
  <c r="H59" i="21" s="1"/>
  <c r="G21" i="13"/>
  <c r="F59" i="21" s="1"/>
  <c r="G59" i="21" s="1"/>
  <c r="F21" i="13"/>
  <c r="E59" i="21" s="1"/>
  <c r="C98" i="21"/>
  <c r="C97" i="21"/>
  <c r="D59" i="21"/>
  <c r="B59" i="21"/>
  <c r="F59" i="24"/>
  <c r="G59" i="24" s="1"/>
  <c r="D59" i="24"/>
  <c r="B59" i="24"/>
  <c r="A59" i="24"/>
  <c r="S44" i="13" l="1"/>
  <c r="S41" i="13"/>
  <c r="S40" i="13"/>
  <c r="J78" i="13"/>
  <c r="H78" i="13"/>
  <c r="T38" i="13"/>
  <c r="U38" i="13" s="1"/>
  <c r="Q78" i="13"/>
  <c r="N78" i="13"/>
  <c r="J77" i="13"/>
  <c r="H77" i="13"/>
  <c r="N77" i="13"/>
  <c r="N37" i="13"/>
  <c r="J37" i="13"/>
  <c r="H37" i="13"/>
  <c r="I38" i="13"/>
  <c r="G38" i="13"/>
  <c r="C38" i="13"/>
  <c r="O38" i="13"/>
  <c r="C60" i="47"/>
  <c r="Q67" i="23"/>
  <c r="U67" i="23" s="1"/>
  <c r="Q66" i="23"/>
  <c r="U66" i="23" s="1"/>
  <c r="T70" i="23"/>
  <c r="Q69" i="23"/>
  <c r="U69" i="23" s="1"/>
  <c r="Q68" i="23"/>
  <c r="U68" i="23" s="1"/>
  <c r="U70" i="23" s="1"/>
  <c r="U56" i="23"/>
  <c r="U42" i="23"/>
  <c r="J20" i="23"/>
  <c r="K20" i="23"/>
  <c r="M20" i="23" s="1"/>
  <c r="P20" i="23" s="1"/>
  <c r="Q20" i="23" s="1"/>
  <c r="U20" i="23" s="1"/>
  <c r="S21" i="23"/>
  <c r="C21" i="23"/>
  <c r="S70" i="13"/>
  <c r="S30" i="13"/>
  <c r="H59" i="24"/>
  <c r="E59" i="24"/>
  <c r="J72" i="33"/>
  <c r="I72" i="33"/>
  <c r="H72" i="33"/>
  <c r="A19" i="33"/>
  <c r="A20" i="33" s="1"/>
  <c r="A14" i="33"/>
  <c r="A15" i="33" s="1"/>
  <c r="A17" i="33" s="1"/>
  <c r="C5" i="33"/>
  <c r="D5" i="33" s="1"/>
  <c r="E5" i="33" s="1"/>
  <c r="T39" i="13" l="1"/>
  <c r="U39" i="13" s="1"/>
  <c r="N38" i="13"/>
  <c r="G40" i="13"/>
  <c r="J38" i="13"/>
  <c r="H38" i="13"/>
  <c r="G39" i="13"/>
  <c r="O39" i="13"/>
  <c r="C39" i="13"/>
  <c r="C61" i="47"/>
  <c r="E21" i="23"/>
  <c r="G21" i="23" s="1"/>
  <c r="H21" i="23" s="1"/>
  <c r="J21" i="23" s="1"/>
  <c r="S71" i="13"/>
  <c r="S31" i="13"/>
  <c r="A16" i="33"/>
  <c r="O225" i="32"/>
  <c r="O224" i="32"/>
  <c r="O223" i="32"/>
  <c r="O222" i="32"/>
  <c r="O220" i="32"/>
  <c r="O219" i="32"/>
  <c r="O218" i="32"/>
  <c r="O217" i="32"/>
  <c r="O216" i="32"/>
  <c r="O215" i="32"/>
  <c r="O214" i="32"/>
  <c r="O213" i="32"/>
  <c r="O212" i="32"/>
  <c r="O211" i="32"/>
  <c r="O210" i="32"/>
  <c r="O209" i="32"/>
  <c r="O208" i="32"/>
  <c r="O207" i="32"/>
  <c r="O206" i="32"/>
  <c r="O205" i="32"/>
  <c r="O204" i="32"/>
  <c r="O203" i="32"/>
  <c r="O201" i="32"/>
  <c r="O200" i="32"/>
  <c r="O199" i="32"/>
  <c r="O198" i="32"/>
  <c r="O197" i="32"/>
  <c r="O196" i="32"/>
  <c r="O195" i="32"/>
  <c r="O194" i="32"/>
  <c r="O193" i="32"/>
  <c r="O192" i="32"/>
  <c r="O191" i="32"/>
  <c r="O190" i="32"/>
  <c r="O189" i="32"/>
  <c r="O188" i="32"/>
  <c r="O187" i="32"/>
  <c r="O186" i="32"/>
  <c r="O185" i="32"/>
  <c r="O184" i="32"/>
  <c r="O183" i="32"/>
  <c r="O182" i="32"/>
  <c r="O181" i="32"/>
  <c r="O180" i="32"/>
  <c r="O179" i="32"/>
  <c r="O178" i="32"/>
  <c r="O177" i="32"/>
  <c r="O176" i="32"/>
  <c r="O175" i="32"/>
  <c r="O174" i="32"/>
  <c r="O173" i="32"/>
  <c r="O172" i="32"/>
  <c r="O171" i="32"/>
  <c r="O170" i="32"/>
  <c r="O169" i="32"/>
  <c r="O168" i="32"/>
  <c r="O167" i="32"/>
  <c r="O166" i="32"/>
  <c r="O165" i="32"/>
  <c r="O164" i="32"/>
  <c r="O163" i="32"/>
  <c r="O162" i="32"/>
  <c r="O161" i="32"/>
  <c r="O160" i="32"/>
  <c r="O159" i="32"/>
  <c r="O158" i="32"/>
  <c r="O157" i="32"/>
  <c r="O156" i="32"/>
  <c r="O155" i="32"/>
  <c r="O154" i="32"/>
  <c r="O153" i="32"/>
  <c r="O152" i="32"/>
  <c r="O151" i="32"/>
  <c r="O150" i="32"/>
  <c r="O149" i="32"/>
  <c r="O148" i="32"/>
  <c r="O147" i="32"/>
  <c r="O146" i="32"/>
  <c r="O145" i="32"/>
  <c r="O144" i="32"/>
  <c r="O143" i="32"/>
  <c r="O142" i="32"/>
  <c r="O141" i="32"/>
  <c r="O140" i="32"/>
  <c r="O139" i="32"/>
  <c r="O138" i="32"/>
  <c r="O137" i="32"/>
  <c r="O136" i="32"/>
  <c r="O135" i="32"/>
  <c r="O134" i="32"/>
  <c r="O133" i="32"/>
  <c r="O132" i="32"/>
  <c r="O131" i="32"/>
  <c r="O130" i="32"/>
  <c r="O129" i="32"/>
  <c r="O128" i="32"/>
  <c r="O126" i="32"/>
  <c r="O125" i="32"/>
  <c r="O124" i="32"/>
  <c r="O123" i="32"/>
  <c r="O122" i="32"/>
  <c r="O121" i="32"/>
  <c r="O120" i="32"/>
  <c r="O119" i="32"/>
  <c r="O118" i="32"/>
  <c r="O117" i="32"/>
  <c r="O116" i="32"/>
  <c r="O115" i="32"/>
  <c r="O114" i="32"/>
  <c r="O113" i="32"/>
  <c r="O112" i="32"/>
  <c r="O111" i="32"/>
  <c r="O110" i="32"/>
  <c r="O109" i="32"/>
  <c r="O108" i="32"/>
  <c r="O107" i="32"/>
  <c r="O106" i="32"/>
  <c r="O105" i="32"/>
  <c r="O104" i="32"/>
  <c r="O103" i="32"/>
  <c r="O102" i="32"/>
  <c r="O101" i="32"/>
  <c r="O100" i="32"/>
  <c r="O99" i="32"/>
  <c r="O98" i="32"/>
  <c r="O97" i="32"/>
  <c r="O96" i="32"/>
  <c r="O95" i="32"/>
  <c r="O94" i="32"/>
  <c r="O93" i="32"/>
  <c r="O92" i="32"/>
  <c r="O91" i="32"/>
  <c r="O90" i="32"/>
  <c r="O89" i="32"/>
  <c r="O88" i="32"/>
  <c r="O87" i="32"/>
  <c r="O86" i="32"/>
  <c r="O85" i="32"/>
  <c r="O84" i="32"/>
  <c r="O83" i="32"/>
  <c r="O82" i="32"/>
  <c r="O81" i="32"/>
  <c r="O80" i="32"/>
  <c r="O79" i="32"/>
  <c r="O78" i="32"/>
  <c r="O77" i="32"/>
  <c r="O76" i="32"/>
  <c r="O75" i="32"/>
  <c r="O74" i="32"/>
  <c r="O73" i="32"/>
  <c r="O72" i="32"/>
  <c r="O71" i="32"/>
  <c r="O70" i="32"/>
  <c r="O69" i="32"/>
  <c r="O68" i="32"/>
  <c r="O67" i="32"/>
  <c r="O66" i="32"/>
  <c r="O65" i="32"/>
  <c r="O64" i="32"/>
  <c r="O63" i="32"/>
  <c r="O62" i="32"/>
  <c r="O61" i="32"/>
  <c r="O60" i="32"/>
  <c r="O59" i="32"/>
  <c r="O58" i="32"/>
  <c r="O57" i="32"/>
  <c r="O56" i="32"/>
  <c r="O55" i="32"/>
  <c r="O54" i="32"/>
  <c r="O53" i="32"/>
  <c r="O52" i="32"/>
  <c r="O51" i="32"/>
  <c r="O50" i="32"/>
  <c r="O49" i="32"/>
  <c r="O48" i="32"/>
  <c r="O47" i="32"/>
  <c r="O46" i="32"/>
  <c r="O45" i="32"/>
  <c r="O44" i="32"/>
  <c r="O43" i="32"/>
  <c r="O42" i="32"/>
  <c r="O41" i="32"/>
  <c r="O40" i="32"/>
  <c r="O39" i="32"/>
  <c r="O38" i="32"/>
  <c r="O37" i="32"/>
  <c r="O36" i="32"/>
  <c r="O35" i="32"/>
  <c r="O34" i="32"/>
  <c r="O33" i="32"/>
  <c r="O32" i="32"/>
  <c r="O31" i="32"/>
  <c r="O30" i="32"/>
  <c r="O29" i="32"/>
  <c r="O28" i="32"/>
  <c r="O27" i="32"/>
  <c r="O26" i="32"/>
  <c r="O25" i="32"/>
  <c r="O24" i="32"/>
  <c r="O23" i="32"/>
  <c r="O22" i="32"/>
  <c r="O21" i="32"/>
  <c r="O20" i="32"/>
  <c r="O19" i="32"/>
  <c r="O18" i="32"/>
  <c r="O17" i="32"/>
  <c r="O16" i="32"/>
  <c r="O15" i="32"/>
  <c r="O14" i="32"/>
  <c r="O13" i="32"/>
  <c r="O12" i="32"/>
  <c r="O11" i="32"/>
  <c r="O10" i="32"/>
  <c r="O9" i="32"/>
  <c r="O8" i="32"/>
  <c r="O7" i="32"/>
  <c r="O6" i="32"/>
  <c r="O5" i="32"/>
  <c r="O44" i="13" l="1"/>
  <c r="T44" i="13"/>
  <c r="U44" i="13" s="1"/>
  <c r="N44" i="13"/>
  <c r="O41" i="13"/>
  <c r="T41" i="13"/>
  <c r="U41" i="13" s="1"/>
  <c r="N41" i="13"/>
  <c r="N39" i="13"/>
  <c r="N40" i="13"/>
  <c r="J40" i="13"/>
  <c r="H40" i="13"/>
  <c r="O40" i="13"/>
  <c r="T40" i="13"/>
  <c r="U40" i="13" s="1"/>
  <c r="J39" i="13"/>
  <c r="H39" i="13"/>
  <c r="C62" i="47"/>
  <c r="K21" i="23"/>
  <c r="M21" i="23" s="1"/>
  <c r="P21" i="23" s="1"/>
  <c r="Q21" i="23" s="1"/>
  <c r="U21" i="23" s="1"/>
  <c r="I21" i="23"/>
  <c r="C22" i="23"/>
  <c r="S22" i="23"/>
  <c r="S76" i="13"/>
  <c r="S72" i="13"/>
  <c r="S36" i="13"/>
  <c r="S32" i="13"/>
  <c r="B117" i="31"/>
  <c r="B116" i="31"/>
  <c r="B119" i="31" s="1"/>
  <c r="B115" i="31"/>
  <c r="B114" i="31"/>
  <c r="B113" i="31"/>
  <c r="B112" i="31"/>
  <c r="B111" i="31"/>
  <c r="B110" i="31"/>
  <c r="AS93" i="31"/>
  <c r="AM93" i="31"/>
  <c r="AN93" i="31" s="1"/>
  <c r="AO93" i="31" s="1"/>
  <c r="AP93" i="31" s="1"/>
  <c r="AL93" i="31"/>
  <c r="AD93" i="31"/>
  <c r="AE93" i="31" s="1"/>
  <c r="AF93" i="31" s="1"/>
  <c r="AG93" i="31" s="1"/>
  <c r="AH93" i="31" s="1"/>
  <c r="AI93" i="31" s="1"/>
  <c r="AJ93" i="31" s="1"/>
  <c r="AK93" i="31" s="1"/>
  <c r="F93" i="31"/>
  <c r="G93" i="31" s="1"/>
  <c r="H93" i="31" s="1"/>
  <c r="I93" i="31" s="1"/>
  <c r="J93" i="31" s="1"/>
  <c r="M93" i="31" s="1"/>
  <c r="N93" i="31" s="1"/>
  <c r="T93" i="31" s="1"/>
  <c r="U93" i="31" s="1"/>
  <c r="V93" i="31" s="1"/>
  <c r="W93" i="31" s="1"/>
  <c r="X93" i="31" s="1"/>
  <c r="Y93" i="31" s="1"/>
  <c r="Z93" i="31" s="1"/>
  <c r="AA93" i="31" s="1"/>
  <c r="E93" i="31"/>
  <c r="B87" i="31"/>
  <c r="B85" i="31"/>
  <c r="B84" i="31"/>
  <c r="B83" i="31"/>
  <c r="B82" i="31"/>
  <c r="B81" i="31"/>
  <c r="B80" i="31"/>
  <c r="B79" i="31"/>
  <c r="B78" i="31"/>
  <c r="E63" i="31"/>
  <c r="G63" i="31" s="1"/>
  <c r="H63" i="31" s="1"/>
  <c r="I63" i="31" s="1"/>
  <c r="J63" i="31" s="1"/>
  <c r="K63" i="31" s="1"/>
  <c r="L63" i="31" s="1"/>
  <c r="M63" i="31" s="1"/>
  <c r="N63" i="31" s="1"/>
  <c r="O63" i="31" s="1"/>
  <c r="P63" i="31" s="1"/>
  <c r="R63" i="31" s="1"/>
  <c r="S63" i="31" s="1"/>
  <c r="T63" i="31" s="1"/>
  <c r="U63" i="31" s="1"/>
  <c r="V63" i="31" s="1"/>
  <c r="W63" i="31" s="1"/>
  <c r="X63" i="31" s="1"/>
  <c r="Y63" i="31" s="1"/>
  <c r="Z63" i="31" s="1"/>
  <c r="AA63" i="31" s="1"/>
  <c r="J44" i="13" l="1"/>
  <c r="H44" i="13"/>
  <c r="J41" i="13"/>
  <c r="H41" i="13"/>
  <c r="C63" i="47"/>
  <c r="E22" i="23"/>
  <c r="G22" i="23" s="1"/>
  <c r="H22" i="23" s="1"/>
  <c r="J22" i="23" s="1"/>
  <c r="Q93" i="31"/>
  <c r="C9" i="30"/>
  <c r="D9" i="30" s="1"/>
  <c r="F9" i="30" s="1"/>
  <c r="G9" i="30" s="1"/>
  <c r="B9" i="30"/>
  <c r="C8" i="30"/>
  <c r="D8" i="30" s="1"/>
  <c r="F8" i="30" s="1"/>
  <c r="G8" i="30" s="1"/>
  <c r="B58" i="31"/>
  <c r="D58" i="31" s="1"/>
  <c r="B57" i="31"/>
  <c r="D57" i="31" s="1"/>
  <c r="B56" i="31"/>
  <c r="D56" i="31" s="1"/>
  <c r="B55" i="31"/>
  <c r="D55" i="31" s="1"/>
  <c r="B54" i="31"/>
  <c r="D54" i="31" s="1"/>
  <c r="B53" i="31"/>
  <c r="D53" i="31" s="1"/>
  <c r="B52" i="31"/>
  <c r="D52" i="31" s="1"/>
  <c r="B51" i="31"/>
  <c r="D51" i="31" s="1"/>
  <c r="B50" i="31"/>
  <c r="D50" i="31" s="1"/>
  <c r="B49" i="31"/>
  <c r="D49" i="31" s="1"/>
  <c r="C36" i="31"/>
  <c r="D36" i="31" s="1"/>
  <c r="E36" i="31" s="1"/>
  <c r="F36" i="31" s="1"/>
  <c r="G36" i="31" s="1"/>
  <c r="H36" i="31" s="1"/>
  <c r="I36" i="31" s="1"/>
  <c r="J36" i="31" s="1"/>
  <c r="K36" i="31" s="1"/>
  <c r="L36" i="31" s="1"/>
  <c r="M36" i="31" s="1"/>
  <c r="N36" i="31" s="1"/>
  <c r="O36" i="31" s="1"/>
  <c r="P36" i="31" s="1"/>
  <c r="Q36" i="31" s="1"/>
  <c r="R36" i="31" s="1"/>
  <c r="S36" i="31" s="1"/>
  <c r="T36" i="31" s="1"/>
  <c r="U36" i="31" s="1"/>
  <c r="V36" i="31" s="1"/>
  <c r="W36" i="31" s="1"/>
  <c r="X36" i="31" s="1"/>
  <c r="Y36" i="31" s="1"/>
  <c r="Z36" i="31" s="1"/>
  <c r="AA36" i="31" s="1"/>
  <c r="AB36" i="31" s="1"/>
  <c r="C64" i="47" l="1"/>
  <c r="I22" i="23"/>
  <c r="K22" i="23"/>
  <c r="M22" i="23" s="1"/>
  <c r="P22" i="23" s="1"/>
  <c r="Q22" i="23" s="1"/>
  <c r="U22" i="23" s="1"/>
  <c r="S23" i="23"/>
  <c r="C23" i="23"/>
  <c r="D59" i="31"/>
  <c r="AC5" i="31"/>
  <c r="AC2" i="31"/>
  <c r="AD6" i="31"/>
  <c r="AD7" i="31" s="1"/>
  <c r="AD8" i="31" s="1"/>
  <c r="AD9" i="31" s="1"/>
  <c r="AD10" i="31" s="1"/>
  <c r="AD11" i="31" s="1"/>
  <c r="AD12" i="31" s="1"/>
  <c r="AD13" i="31" s="1"/>
  <c r="AD14" i="31" s="1"/>
  <c r="AD15" i="31" s="1"/>
  <c r="AD16" i="31" s="1"/>
  <c r="AD17" i="31" s="1"/>
  <c r="AD18" i="31" s="1"/>
  <c r="AD19" i="31" s="1"/>
  <c r="AD20" i="31" s="1"/>
  <c r="AD21" i="31" s="1"/>
  <c r="AD22" i="31" s="1"/>
  <c r="AD23" i="31" s="1"/>
  <c r="AD24" i="31" s="1"/>
  <c r="AD25" i="31" s="1"/>
  <c r="AD26" i="31" s="1"/>
  <c r="AD27" i="31" s="1"/>
  <c r="AD28" i="31" s="1"/>
  <c r="AD29" i="31" s="1"/>
  <c r="AD30" i="31" s="1"/>
  <c r="AD31" i="31" s="1"/>
  <c r="C4" i="31"/>
  <c r="D4" i="31" s="1"/>
  <c r="E4" i="31" s="1"/>
  <c r="F4" i="31" s="1"/>
  <c r="G4" i="31" s="1"/>
  <c r="H4" i="31" s="1"/>
  <c r="I4" i="31" s="1"/>
  <c r="J4" i="31" s="1"/>
  <c r="K4" i="31" s="1"/>
  <c r="L4" i="31" s="1"/>
  <c r="M4" i="31" s="1"/>
  <c r="N4" i="31" s="1"/>
  <c r="O4" i="31" s="1"/>
  <c r="P4" i="31" s="1"/>
  <c r="Q4" i="31" s="1"/>
  <c r="R4" i="31" s="1"/>
  <c r="S4" i="31" s="1"/>
  <c r="T4" i="31" s="1"/>
  <c r="U4" i="31" s="1"/>
  <c r="V4" i="31" s="1"/>
  <c r="W4" i="31" s="1"/>
  <c r="X4" i="31" s="1"/>
  <c r="Y4" i="31" s="1"/>
  <c r="Z4" i="31" s="1"/>
  <c r="AA4" i="31" s="1"/>
  <c r="AB4" i="31" s="1"/>
  <c r="P41" i="30"/>
  <c r="P40" i="30"/>
  <c r="P39" i="30"/>
  <c r="P38" i="30"/>
  <c r="P37" i="30"/>
  <c r="P36" i="30"/>
  <c r="P35" i="30"/>
  <c r="P34" i="30"/>
  <c r="P33" i="30"/>
  <c r="P32" i="30"/>
  <c r="J41" i="30"/>
  <c r="L41" i="30" s="1"/>
  <c r="J40" i="30"/>
  <c r="L40" i="30" s="1"/>
  <c r="J39" i="30"/>
  <c r="L39" i="30" s="1"/>
  <c r="J38" i="30"/>
  <c r="L38" i="30" s="1"/>
  <c r="J37" i="30"/>
  <c r="L37" i="30" s="1"/>
  <c r="J36" i="30"/>
  <c r="L36" i="30" s="1"/>
  <c r="J35" i="30"/>
  <c r="L35" i="30" s="1"/>
  <c r="J34" i="30"/>
  <c r="L34" i="30" s="1"/>
  <c r="J33" i="30"/>
  <c r="L33" i="30" s="1"/>
  <c r="J32" i="30"/>
  <c r="L32" i="30" s="1"/>
  <c r="M19" i="30"/>
  <c r="N19" i="30" s="1"/>
  <c r="O19" i="30" s="1"/>
  <c r="P19" i="30" s="1"/>
  <c r="Q19" i="30" s="1"/>
  <c r="R19" i="30" s="1"/>
  <c r="S19" i="30" s="1"/>
  <c r="T19" i="30" s="1"/>
  <c r="U19" i="30" s="1"/>
  <c r="V19" i="30" s="1"/>
  <c r="W19" i="30" s="1"/>
  <c r="X19" i="30" s="1"/>
  <c r="Y19" i="30" s="1"/>
  <c r="Z19" i="30" s="1"/>
  <c r="AA19" i="30" s="1"/>
  <c r="AB19" i="30" s="1"/>
  <c r="AC19" i="30" s="1"/>
  <c r="AD19" i="30" s="1"/>
  <c r="AE19" i="30" s="1"/>
  <c r="AF19" i="30" s="1"/>
  <c r="AG19" i="30" s="1"/>
  <c r="AH19" i="30" s="1"/>
  <c r="AI19" i="30" s="1"/>
  <c r="AJ19" i="30" s="1"/>
  <c r="AK19" i="30" s="1"/>
  <c r="AL19" i="30" s="1"/>
  <c r="B26" i="31"/>
  <c r="D26" i="31" s="1"/>
  <c r="F26" i="31" s="1"/>
  <c r="B25" i="31"/>
  <c r="D25" i="31" s="1"/>
  <c r="F25" i="31" s="1"/>
  <c r="B24" i="31"/>
  <c r="D24" i="31" s="1"/>
  <c r="F24" i="31" s="1"/>
  <c r="B23" i="31"/>
  <c r="D23" i="31" s="1"/>
  <c r="F23" i="31" s="1"/>
  <c r="B22" i="31"/>
  <c r="D22" i="31" s="1"/>
  <c r="F22" i="31" s="1"/>
  <c r="B21" i="31"/>
  <c r="D21" i="31" s="1"/>
  <c r="F21" i="31" s="1"/>
  <c r="B20" i="31"/>
  <c r="D20" i="31" s="1"/>
  <c r="F20" i="31" s="1"/>
  <c r="B19" i="31"/>
  <c r="D19" i="31" s="1"/>
  <c r="F19" i="31" s="1"/>
  <c r="B18" i="31"/>
  <c r="D18" i="31" s="1"/>
  <c r="F18" i="31" s="1"/>
  <c r="B17" i="31"/>
  <c r="D17" i="31" s="1"/>
  <c r="B6" i="30"/>
  <c r="C6" i="30"/>
  <c r="C5" i="30"/>
  <c r="D6" i="30"/>
  <c r="C65" i="47" l="1"/>
  <c r="C66" i="47" s="1"/>
  <c r="C67" i="47" s="1"/>
  <c r="C68" i="47" s="1"/>
  <c r="C69" i="47" s="1"/>
  <c r="C70" i="47" s="1"/>
  <c r="C71" i="47" s="1"/>
  <c r="P5" i="47" s="1"/>
  <c r="P1" i="47"/>
  <c r="E23" i="23"/>
  <c r="G23" i="23" s="1"/>
  <c r="H23" i="23" s="1"/>
  <c r="J23" i="23" s="1"/>
  <c r="D27" i="31"/>
  <c r="F17" i="31"/>
  <c r="F27" i="31" s="1"/>
  <c r="P42" i="30"/>
  <c r="L42" i="30"/>
  <c r="F6" i="30"/>
  <c r="G6" i="30" s="1"/>
  <c r="C4" i="30"/>
  <c r="D5" i="30"/>
  <c r="F5" i="30" s="1"/>
  <c r="G5" i="30" s="1"/>
  <c r="P2" i="47" l="1"/>
  <c r="P3" i="47"/>
  <c r="P4" i="47"/>
  <c r="K23" i="23"/>
  <c r="M23" i="23" s="1"/>
  <c r="P23" i="23" s="1"/>
  <c r="Q23" i="23" s="1"/>
  <c r="U23" i="23" s="1"/>
  <c r="I23" i="23"/>
  <c r="C24" i="23"/>
  <c r="S24" i="23"/>
  <c r="D4" i="30"/>
  <c r="F4" i="30" s="1"/>
  <c r="G4" i="30" s="1"/>
  <c r="G61" i="13"/>
  <c r="F60" i="13"/>
  <c r="O60" i="13"/>
  <c r="G60" i="13"/>
  <c r="C60" i="13"/>
  <c r="L57" i="21"/>
  <c r="D57" i="21"/>
  <c r="B57" i="21"/>
  <c r="A57" i="21"/>
  <c r="D57" i="22"/>
  <c r="B57" i="22"/>
  <c r="A57" i="22"/>
  <c r="D57" i="24"/>
  <c r="B57" i="24"/>
  <c r="A57" i="24"/>
  <c r="I116" i="21"/>
  <c r="I115" i="21"/>
  <c r="I114" i="21"/>
  <c r="I113" i="21"/>
  <c r="I112" i="21"/>
  <c r="I111" i="21"/>
  <c r="I110" i="21"/>
  <c r="I109" i="21"/>
  <c r="I108" i="21"/>
  <c r="I107" i="21"/>
  <c r="I106" i="21"/>
  <c r="I105" i="21"/>
  <c r="I104" i="21"/>
  <c r="I103" i="21"/>
  <c r="I102" i="21"/>
  <c r="I101" i="21"/>
  <c r="I100" i="21"/>
  <c r="I99" i="21"/>
  <c r="K99" i="21" s="1"/>
  <c r="I98" i="21"/>
  <c r="C116" i="21"/>
  <c r="C115" i="21"/>
  <c r="C114" i="21"/>
  <c r="C113" i="21"/>
  <c r="C112" i="21"/>
  <c r="C111" i="21"/>
  <c r="C110" i="21"/>
  <c r="C109" i="21"/>
  <c r="C108" i="21"/>
  <c r="C107" i="21"/>
  <c r="C106" i="21"/>
  <c r="C105" i="21"/>
  <c r="C104" i="21"/>
  <c r="C103" i="21"/>
  <c r="C102" i="21"/>
  <c r="C101" i="21"/>
  <c r="C100" i="21"/>
  <c r="I97" i="21"/>
  <c r="F20" i="13"/>
  <c r="G20" i="13"/>
  <c r="I20" i="13" s="1"/>
  <c r="F19" i="13"/>
  <c r="E57" i="22" s="1"/>
  <c r="F18" i="13"/>
  <c r="C20" i="13"/>
  <c r="C19" i="13"/>
  <c r="C57" i="22" s="1"/>
  <c r="I19" i="13"/>
  <c r="H57" i="21" s="1"/>
  <c r="G19" i="13"/>
  <c r="F57" i="22" s="1"/>
  <c r="G57" i="22" s="1"/>
  <c r="O19" i="13"/>
  <c r="P6" i="47" l="1"/>
  <c r="E24" i="23"/>
  <c r="G24" i="23" s="1"/>
  <c r="H24" i="23" s="1"/>
  <c r="J24" i="23" s="1"/>
  <c r="K91" i="21"/>
  <c r="C57" i="24"/>
  <c r="C57" i="21"/>
  <c r="J57" i="21" s="1"/>
  <c r="E57" i="24"/>
  <c r="H57" i="24"/>
  <c r="E57" i="21"/>
  <c r="I60" i="13"/>
  <c r="F57" i="24"/>
  <c r="G57" i="24" s="1"/>
  <c r="H57" i="22"/>
  <c r="F57" i="21"/>
  <c r="G57" i="21" s="1"/>
  <c r="H60" i="13"/>
  <c r="J60" i="13"/>
  <c r="H19" i="13"/>
  <c r="J19" i="13"/>
  <c r="C86" i="22"/>
  <c r="I24" i="23" l="1"/>
  <c r="K24" i="23"/>
  <c r="M24" i="23" s="1"/>
  <c r="P24" i="23" s="1"/>
  <c r="Q24" i="23" s="1"/>
  <c r="U24" i="23" s="1"/>
  <c r="S25" i="23"/>
  <c r="C25" i="23"/>
  <c r="C70" i="22"/>
  <c r="C71" i="22"/>
  <c r="C72" i="22"/>
  <c r="C74" i="22"/>
  <c r="C75" i="22"/>
  <c r="C76" i="22"/>
  <c r="C77" i="22"/>
  <c r="C79" i="22"/>
  <c r="C80" i="22"/>
  <c r="C81" i="22"/>
  <c r="C83" i="22"/>
  <c r="C84" i="22"/>
  <c r="C85" i="22"/>
  <c r="C87" i="22"/>
  <c r="C88" i="22"/>
  <c r="C89" i="22"/>
  <c r="C90" i="22"/>
  <c r="E25" i="23" l="1"/>
  <c r="G25" i="23" s="1"/>
  <c r="H25" i="23" s="1"/>
  <c r="J25" i="23" s="1"/>
  <c r="E85" i="22"/>
  <c r="E90" i="22"/>
  <c r="C95" i="21"/>
  <c r="C94" i="21"/>
  <c r="C93" i="21"/>
  <c r="C92" i="21"/>
  <c r="C90" i="21"/>
  <c r="C89" i="21"/>
  <c r="C88" i="21"/>
  <c r="I95" i="21"/>
  <c r="I94" i="21"/>
  <c r="I93" i="21"/>
  <c r="I92" i="21"/>
  <c r="I90" i="21"/>
  <c r="I89" i="21"/>
  <c r="I88" i="21"/>
  <c r="A63" i="21"/>
  <c r="L63" i="21"/>
  <c r="L62" i="21"/>
  <c r="L61" i="21"/>
  <c r="L60" i="21"/>
  <c r="L59" i="21"/>
  <c r="A62" i="21"/>
  <c r="A61" i="21"/>
  <c r="A60" i="21"/>
  <c r="A59" i="21"/>
  <c r="L58" i="21"/>
  <c r="L56" i="21"/>
  <c r="L55" i="21"/>
  <c r="L54" i="21"/>
  <c r="L53" i="21"/>
  <c r="E90" i="21"/>
  <c r="D58" i="21"/>
  <c r="B58" i="21"/>
  <c r="A58" i="21"/>
  <c r="D58" i="24"/>
  <c r="B58" i="24"/>
  <c r="A58" i="24"/>
  <c r="D58" i="22"/>
  <c r="B58" i="22"/>
  <c r="A58" i="22"/>
  <c r="D90" i="22"/>
  <c r="K25" i="23" l="1"/>
  <c r="M25" i="23" s="1"/>
  <c r="P25" i="23" s="1"/>
  <c r="Q25" i="23" s="1"/>
  <c r="U25" i="23" s="1"/>
  <c r="I25" i="23"/>
  <c r="C26" i="23"/>
  <c r="S26" i="23"/>
  <c r="E95" i="21"/>
  <c r="K90" i="21"/>
  <c r="K95" i="21"/>
  <c r="B29" i="14"/>
  <c r="E29" i="14"/>
  <c r="C29" i="14"/>
  <c r="B207" i="26"/>
  <c r="B31" i="14"/>
  <c r="C207" i="26" s="1"/>
  <c r="C208" i="26" s="1"/>
  <c r="C209" i="26" s="1"/>
  <c r="D209" i="26" s="1"/>
  <c r="B9" i="14"/>
  <c r="B30" i="14"/>
  <c r="B28" i="14"/>
  <c r="B7" i="14"/>
  <c r="E26" i="23" l="1"/>
  <c r="G26" i="23" s="1"/>
  <c r="H26" i="23" s="1"/>
  <c r="I26" i="23" s="1"/>
  <c r="D207" i="26"/>
  <c r="D208" i="26"/>
  <c r="C210" i="26"/>
  <c r="D210" i="26" s="1"/>
  <c r="A229" i="28" a="1"/>
  <c r="A229" i="28" s="1"/>
  <c r="A231" i="28" a="1"/>
  <c r="A231" i="28" s="1"/>
  <c r="K26" i="23" l="1"/>
  <c r="J26" i="23"/>
  <c r="S27" i="23"/>
  <c r="C27" i="23"/>
  <c r="M26" i="23"/>
  <c r="P26" i="23" s="1"/>
  <c r="Q26" i="23" s="1"/>
  <c r="U26" i="23" s="1"/>
  <c r="H10" i="23"/>
  <c r="H9" i="23"/>
  <c r="H7" i="23"/>
  <c r="H6" i="23"/>
  <c r="H5" i="23"/>
  <c r="H4" i="23"/>
  <c r="K4" i="23" s="1"/>
  <c r="H12" i="23"/>
  <c r="C12" i="23"/>
  <c r="C10" i="23"/>
  <c r="E10" i="23" s="1"/>
  <c r="C9" i="23"/>
  <c r="C7" i="23"/>
  <c r="E7" i="23" s="1"/>
  <c r="C6" i="23"/>
  <c r="C5" i="23"/>
  <c r="E5" i="23" s="1"/>
  <c r="C4" i="23"/>
  <c r="E27" i="23" l="1"/>
  <c r="G27" i="23" s="1"/>
  <c r="H27" i="23" s="1"/>
  <c r="J27" i="23" s="1"/>
  <c r="S28" i="23"/>
  <c r="E12" i="23"/>
  <c r="H13" i="23" s="1"/>
  <c r="G5" i="23"/>
  <c r="G7" i="23"/>
  <c r="G10" i="23"/>
  <c r="E4" i="23"/>
  <c r="G4" i="23" s="1"/>
  <c r="E6" i="23"/>
  <c r="G6" i="23" s="1"/>
  <c r="E9" i="23"/>
  <c r="G9" i="23" s="1"/>
  <c r="K12" i="23"/>
  <c r="M12" i="23" s="1"/>
  <c r="O12" i="23" s="1"/>
  <c r="J12" i="23"/>
  <c r="I12" i="23"/>
  <c r="K27" i="23" l="1"/>
  <c r="I27" i="23"/>
  <c r="G12" i="23"/>
  <c r="M27" i="23"/>
  <c r="P27" i="23" s="1"/>
  <c r="Q27" i="23" s="1"/>
  <c r="U27" i="23" s="1"/>
  <c r="H124" i="27"/>
  <c r="H123" i="27"/>
  <c r="I124" i="27" s="1"/>
  <c r="H122" i="27"/>
  <c r="I123" i="27" s="1"/>
  <c r="H121" i="27"/>
  <c r="I122" i="27" s="1"/>
  <c r="H120" i="27"/>
  <c r="I121" i="27" s="1"/>
  <c r="H119" i="27"/>
  <c r="I120" i="27" s="1"/>
  <c r="H118" i="27"/>
  <c r="I119" i="27" s="1"/>
  <c r="H117" i="27"/>
  <c r="I118" i="27" s="1"/>
  <c r="H116" i="27"/>
  <c r="I117" i="27" s="1"/>
  <c r="H115" i="27"/>
  <c r="I116" i="27" s="1"/>
  <c r="H114" i="27"/>
  <c r="I115" i="27" s="1"/>
  <c r="H113" i="27"/>
  <c r="I114" i="27" s="1"/>
  <c r="H112" i="27"/>
  <c r="I113" i="27" s="1"/>
  <c r="H111" i="27"/>
  <c r="I112" i="27" s="1"/>
  <c r="H110" i="27"/>
  <c r="I111" i="27" s="1"/>
  <c r="H109" i="27"/>
  <c r="I110" i="27" s="1"/>
  <c r="H108" i="27"/>
  <c r="I109" i="27" s="1"/>
  <c r="H107" i="27"/>
  <c r="I108" i="27" s="1"/>
  <c r="H106" i="27"/>
  <c r="I107" i="27" s="1"/>
  <c r="H105" i="27"/>
  <c r="I106" i="27" s="1"/>
  <c r="H104" i="27"/>
  <c r="I105" i="27" s="1"/>
  <c r="H103" i="27"/>
  <c r="I104" i="27" s="1"/>
  <c r="H102" i="27"/>
  <c r="I103" i="27" s="1"/>
  <c r="H101" i="27"/>
  <c r="I102" i="27" s="1"/>
  <c r="H100" i="27"/>
  <c r="I101" i="27" s="1"/>
  <c r="H99" i="27"/>
  <c r="I100" i="27" s="1"/>
  <c r="H98" i="27"/>
  <c r="I99" i="27" s="1"/>
  <c r="H97" i="27"/>
  <c r="I98" i="27" s="1"/>
  <c r="H96" i="27"/>
  <c r="I97" i="27" s="1"/>
  <c r="H95" i="27"/>
  <c r="I96" i="27" s="1"/>
  <c r="H94" i="27"/>
  <c r="I95" i="27" s="1"/>
  <c r="H93" i="27"/>
  <c r="I94" i="27" s="1"/>
  <c r="H92" i="27"/>
  <c r="I93" i="27" s="1"/>
  <c r="H91" i="27"/>
  <c r="I92" i="27" s="1"/>
  <c r="H90" i="27"/>
  <c r="I91" i="27" s="1"/>
  <c r="H89" i="27"/>
  <c r="I90" i="27" s="1"/>
  <c r="H88" i="27"/>
  <c r="I89" i="27" s="1"/>
  <c r="H87" i="27"/>
  <c r="I88" i="27" s="1"/>
  <c r="H86" i="27"/>
  <c r="I87" i="27" s="1"/>
  <c r="H85" i="27"/>
  <c r="I86" i="27" s="1"/>
  <c r="H84" i="27"/>
  <c r="I85" i="27" s="1"/>
  <c r="H83" i="27"/>
  <c r="I84" i="27" s="1"/>
  <c r="J84" i="27" s="1"/>
  <c r="H82" i="27"/>
  <c r="I83" i="27" s="1"/>
  <c r="J83" i="27" s="1"/>
  <c r="H81" i="27"/>
  <c r="I82" i="27" s="1"/>
  <c r="J82" i="27" s="1"/>
  <c r="H80" i="27"/>
  <c r="I81" i="27" s="1"/>
  <c r="J81" i="27" s="1"/>
  <c r="H79" i="27"/>
  <c r="I80" i="27" s="1"/>
  <c r="J80" i="27" s="1"/>
  <c r="H78" i="27"/>
  <c r="I79" i="27" s="1"/>
  <c r="J79" i="27" s="1"/>
  <c r="H77" i="27"/>
  <c r="I78" i="27" s="1"/>
  <c r="J78" i="27" s="1"/>
  <c r="H76" i="27"/>
  <c r="I77" i="27" s="1"/>
  <c r="J77" i="27" s="1"/>
  <c r="H75" i="27"/>
  <c r="I76" i="27" s="1"/>
  <c r="J76" i="27" s="1"/>
  <c r="H74" i="27"/>
  <c r="I75" i="27" s="1"/>
  <c r="J75" i="27" s="1"/>
  <c r="H73" i="27"/>
  <c r="I74" i="27" s="1"/>
  <c r="J74" i="27" s="1"/>
  <c r="H72" i="27"/>
  <c r="I73" i="27" s="1"/>
  <c r="J73" i="27" s="1"/>
  <c r="H71" i="27"/>
  <c r="I72" i="27" s="1"/>
  <c r="J72" i="27" s="1"/>
  <c r="H70" i="27"/>
  <c r="I71" i="27" s="1"/>
  <c r="J71" i="27" s="1"/>
  <c r="H69" i="27"/>
  <c r="I70" i="27" s="1"/>
  <c r="J70" i="27" s="1"/>
  <c r="H68" i="27"/>
  <c r="I69" i="27" s="1"/>
  <c r="J69" i="27" s="1"/>
  <c r="H67" i="27"/>
  <c r="I68" i="27" s="1"/>
  <c r="J68" i="27" s="1"/>
  <c r="H66" i="27"/>
  <c r="I67" i="27" s="1"/>
  <c r="J67" i="27" s="1"/>
  <c r="H65" i="27"/>
  <c r="I66" i="27" s="1"/>
  <c r="J66" i="27" s="1"/>
  <c r="H64" i="27"/>
  <c r="I65" i="27" s="1"/>
  <c r="J65" i="27" s="1"/>
  <c r="H63" i="27"/>
  <c r="I64" i="27" s="1"/>
  <c r="J64" i="27" s="1"/>
  <c r="H62" i="27"/>
  <c r="I63" i="27" s="1"/>
  <c r="J63" i="27" s="1"/>
  <c r="H61" i="27"/>
  <c r="I62" i="27" s="1"/>
  <c r="J62" i="27" s="1"/>
  <c r="H60" i="27"/>
  <c r="I61" i="27" s="1"/>
  <c r="J61" i="27" s="1"/>
  <c r="H59" i="27"/>
  <c r="I60" i="27" s="1"/>
  <c r="J60" i="27" s="1"/>
  <c r="H58" i="27"/>
  <c r="I59" i="27" s="1"/>
  <c r="J59" i="27" s="1"/>
  <c r="H57" i="27"/>
  <c r="I58" i="27" s="1"/>
  <c r="J58" i="27" s="1"/>
  <c r="H56" i="27"/>
  <c r="I57" i="27" s="1"/>
  <c r="J57" i="27" s="1"/>
  <c r="J55" i="27"/>
  <c r="I55" i="27"/>
  <c r="H55" i="27"/>
  <c r="I56" i="27" s="1"/>
  <c r="J56" i="27" s="1"/>
  <c r="I54" i="27"/>
  <c r="J54" i="27" s="1"/>
  <c r="I53" i="27"/>
  <c r="J53" i="27" s="1"/>
  <c r="J52" i="27"/>
  <c r="I52" i="27"/>
  <c r="I51" i="27"/>
  <c r="J51" i="27" s="1"/>
  <c r="I50" i="27"/>
  <c r="J50" i="27" s="1"/>
  <c r="I49" i="27"/>
  <c r="J49" i="27" s="1"/>
  <c r="J48" i="27"/>
  <c r="I48" i="27"/>
  <c r="I47" i="27"/>
  <c r="J47" i="27" s="1"/>
  <c r="I46" i="27"/>
  <c r="J46" i="27" s="1"/>
  <c r="I45" i="27"/>
  <c r="J45" i="27" s="1"/>
  <c r="J44" i="27"/>
  <c r="I44" i="27"/>
  <c r="I43" i="27"/>
  <c r="J43" i="27" s="1"/>
  <c r="I42" i="27"/>
  <c r="J42" i="27" s="1"/>
  <c r="I41" i="27"/>
  <c r="J41" i="27" s="1"/>
  <c r="J40" i="27"/>
  <c r="I40" i="27"/>
  <c r="I39" i="27"/>
  <c r="J39" i="27" s="1"/>
  <c r="I38" i="27"/>
  <c r="J38" i="27" s="1"/>
  <c r="I37" i="27"/>
  <c r="J37" i="27" s="1"/>
  <c r="J36" i="27"/>
  <c r="I36" i="27"/>
  <c r="I35" i="27"/>
  <c r="J35" i="27" s="1"/>
  <c r="I34" i="27"/>
  <c r="J34" i="27" s="1"/>
  <c r="I33" i="27"/>
  <c r="J33" i="27" s="1"/>
  <c r="J32" i="27"/>
  <c r="I32" i="27"/>
  <c r="I31" i="27"/>
  <c r="J31" i="27" s="1"/>
  <c r="I30" i="27"/>
  <c r="J30" i="27" s="1"/>
  <c r="I29" i="27"/>
  <c r="J29" i="27" s="1"/>
  <c r="J28" i="27"/>
  <c r="I28" i="27"/>
  <c r="I27" i="27"/>
  <c r="J27" i="27" s="1"/>
  <c r="I26" i="27"/>
  <c r="J26" i="27" s="1"/>
  <c r="I25" i="27"/>
  <c r="J25" i="27" s="1"/>
  <c r="J24" i="27"/>
  <c r="I24" i="27"/>
  <c r="I23" i="27"/>
  <c r="J23" i="27" s="1"/>
  <c r="I22" i="27"/>
  <c r="J22" i="27" s="1"/>
  <c r="I21" i="27"/>
  <c r="J21" i="27" s="1"/>
  <c r="J20" i="27"/>
  <c r="I20" i="27"/>
  <c r="I19" i="27"/>
  <c r="J19" i="27" s="1"/>
  <c r="I18" i="27"/>
  <c r="J18" i="27" s="1"/>
  <c r="I17" i="27"/>
  <c r="J17" i="27" s="1"/>
  <c r="J16" i="27"/>
  <c r="I16" i="27"/>
  <c r="J14" i="27"/>
  <c r="I14" i="27"/>
  <c r="H14" i="27"/>
  <c r="I15" i="27" s="1"/>
  <c r="J15" i="27" s="1"/>
  <c r="I13" i="27"/>
  <c r="J13" i="27" s="1"/>
  <c r="I12" i="27"/>
  <c r="J12" i="27" s="1"/>
  <c r="J11" i="27"/>
  <c r="I11" i="27"/>
  <c r="I10" i="27"/>
  <c r="J10" i="27" s="1"/>
  <c r="I9" i="27"/>
  <c r="J9" i="27" s="1"/>
  <c r="I8" i="27"/>
  <c r="J8" i="27" s="1"/>
  <c r="J7" i="27"/>
  <c r="I7" i="27"/>
  <c r="I6" i="27"/>
  <c r="J6" i="27" s="1"/>
  <c r="U28" i="23" l="1"/>
  <c r="P194" i="26"/>
  <c r="P193" i="26"/>
  <c r="P192" i="26"/>
  <c r="P191" i="26"/>
  <c r="P190" i="26"/>
  <c r="P189" i="26"/>
  <c r="P188" i="26"/>
  <c r="P187" i="26"/>
  <c r="P186" i="26"/>
  <c r="P185" i="26"/>
  <c r="P184" i="26"/>
  <c r="P183" i="26"/>
  <c r="P182" i="26"/>
  <c r="P181" i="26"/>
  <c r="P180" i="26"/>
  <c r="P179" i="26"/>
  <c r="P178" i="26"/>
  <c r="P162" i="26"/>
  <c r="P161" i="26"/>
  <c r="P170" i="26"/>
  <c r="P169" i="26"/>
  <c r="P168" i="26"/>
  <c r="P167" i="26"/>
  <c r="P166" i="26"/>
  <c r="P165" i="26"/>
  <c r="P164" i="26"/>
  <c r="P163" i="26"/>
  <c r="P160" i="26"/>
  <c r="P159" i="26"/>
  <c r="P195" i="26" l="1"/>
  <c r="P171" i="26"/>
  <c r="F151" i="26"/>
  <c r="G148" i="26"/>
  <c r="H147" i="26"/>
  <c r="F147" i="26"/>
  <c r="G146" i="26"/>
  <c r="H142" i="26"/>
  <c r="H148" i="26" s="1"/>
  <c r="G142" i="26"/>
  <c r="F142" i="26"/>
  <c r="F148" i="26" s="1"/>
  <c r="H141" i="26"/>
  <c r="G141" i="26"/>
  <c r="G147" i="26" s="1"/>
  <c r="F141" i="26"/>
  <c r="H140" i="26"/>
  <c r="H146" i="26" s="1"/>
  <c r="G140" i="26"/>
  <c r="F140" i="26"/>
  <c r="F146" i="26" s="1"/>
  <c r="P60" i="26" l="1"/>
  <c r="P59" i="26"/>
  <c r="P58" i="26"/>
  <c r="P57" i="26"/>
  <c r="P56" i="26"/>
  <c r="P55" i="26"/>
  <c r="P54" i="26"/>
  <c r="P53" i="26"/>
  <c r="I53" i="26"/>
  <c r="P52" i="26"/>
  <c r="P51" i="26"/>
  <c r="P50" i="26"/>
  <c r="P49" i="26"/>
  <c r="P48" i="26"/>
  <c r="P47" i="26"/>
  <c r="P46" i="26"/>
  <c r="P45" i="26"/>
  <c r="P44" i="26"/>
  <c r="I44" i="26"/>
  <c r="P16" i="26"/>
  <c r="P38" i="26"/>
  <c r="P15" i="26"/>
  <c r="P31" i="26"/>
  <c r="I31" i="26"/>
  <c r="P30" i="26"/>
  <c r="I30" i="26"/>
  <c r="P29" i="26"/>
  <c r="I29" i="26"/>
  <c r="P28" i="26"/>
  <c r="I28" i="26"/>
  <c r="P27" i="26"/>
  <c r="I27" i="26"/>
  <c r="P26" i="26"/>
  <c r="I26" i="26"/>
  <c r="P25" i="26"/>
  <c r="I25" i="26"/>
  <c r="P24" i="26"/>
  <c r="I24" i="26"/>
  <c r="P23" i="26"/>
  <c r="I23" i="26"/>
  <c r="P22" i="26"/>
  <c r="I22" i="26"/>
  <c r="P37" i="26"/>
  <c r="P36" i="26"/>
  <c r="P35" i="26"/>
  <c r="P34" i="26"/>
  <c r="P33" i="26"/>
  <c r="P32" i="26"/>
  <c r="P14" i="26"/>
  <c r="P13" i="26"/>
  <c r="P12" i="26"/>
  <c r="P11" i="26"/>
  <c r="P10" i="26"/>
  <c r="P9" i="26"/>
  <c r="P8" i="26"/>
  <c r="P7" i="26"/>
  <c r="P6" i="26"/>
  <c r="P5" i="26"/>
  <c r="I8" i="26"/>
  <c r="I7" i="26"/>
  <c r="I6" i="26"/>
  <c r="I5" i="26"/>
  <c r="I12" i="26"/>
  <c r="I11" i="26"/>
  <c r="I10" i="26"/>
  <c r="I9" i="26"/>
  <c r="D72" i="26"/>
  <c r="D71" i="26"/>
  <c r="D70" i="26"/>
  <c r="D69" i="26"/>
  <c r="P72" i="26"/>
  <c r="P71" i="26"/>
  <c r="P70" i="26"/>
  <c r="P69" i="26"/>
  <c r="X19" i="26"/>
  <c r="X20" i="26"/>
  <c r="X21" i="26"/>
  <c r="X22" i="26"/>
  <c r="X23" i="26"/>
  <c r="Z18" i="26"/>
  <c r="Z19" i="26"/>
  <c r="Z20" i="26"/>
  <c r="Z23" i="26"/>
  <c r="Z22" i="26"/>
  <c r="Z21" i="26"/>
  <c r="Y23" i="26"/>
  <c r="Y22" i="26"/>
  <c r="Y21" i="26"/>
  <c r="Y20" i="26"/>
  <c r="Y19" i="26"/>
  <c r="Y18" i="26"/>
  <c r="P61" i="26" l="1"/>
  <c r="P39" i="26"/>
  <c r="P17" i="26"/>
  <c r="O18" i="13"/>
  <c r="I18" i="13"/>
  <c r="G18" i="13"/>
  <c r="C18" i="13"/>
  <c r="O58" i="13"/>
  <c r="I58" i="13"/>
  <c r="G58" i="13"/>
  <c r="F58" i="13"/>
  <c r="C58" i="13"/>
  <c r="R61" i="26" l="1"/>
  <c r="H18" i="13"/>
  <c r="J18" i="13"/>
  <c r="H58" i="13"/>
  <c r="J58" i="13"/>
  <c r="V3" i="25"/>
  <c r="V4" i="25"/>
  <c r="V13" i="25"/>
  <c r="V12" i="25"/>
  <c r="V11" i="25"/>
  <c r="V10" i="25"/>
  <c r="V9" i="25"/>
  <c r="V8" i="25"/>
  <c r="V7" i="25"/>
  <c r="V6" i="25"/>
  <c r="D56" i="21" l="1"/>
  <c r="B56" i="21"/>
  <c r="A56" i="21"/>
  <c r="D56" i="24"/>
  <c r="B56" i="24"/>
  <c r="A56" i="24"/>
  <c r="A56" i="22"/>
  <c r="H56" i="21"/>
  <c r="E56" i="21"/>
  <c r="D56" i="22"/>
  <c r="B56" i="22"/>
  <c r="E56" i="22" l="1"/>
  <c r="E56" i="24"/>
  <c r="H56" i="24"/>
  <c r="F56" i="21"/>
  <c r="G56" i="21" s="1"/>
  <c r="H56" i="22"/>
  <c r="F56" i="24"/>
  <c r="G56" i="24" s="1"/>
  <c r="F56" i="22"/>
  <c r="G56" i="22" s="1"/>
  <c r="I59" i="13" l="1"/>
  <c r="G59" i="13"/>
  <c r="O59" i="13"/>
  <c r="F59" i="13"/>
  <c r="C59" i="13"/>
  <c r="O20" i="13"/>
  <c r="C56" i="21"/>
  <c r="J56" i="21" s="1"/>
  <c r="C56" i="24"/>
  <c r="C56" i="22"/>
  <c r="C10" i="25"/>
  <c r="C7" i="25"/>
  <c r="E4" i="25"/>
  <c r="E3" i="25"/>
  <c r="M3" i="25"/>
  <c r="K3" i="25"/>
  <c r="G4" i="25"/>
  <c r="G3" i="25"/>
  <c r="E58" i="21" l="1"/>
  <c r="E58" i="24"/>
  <c r="E58" i="22"/>
  <c r="F58" i="24"/>
  <c r="G58" i="24" s="1"/>
  <c r="F58" i="21"/>
  <c r="G58" i="21" s="1"/>
  <c r="F58" i="22"/>
  <c r="G58" i="22" s="1"/>
  <c r="C58" i="21"/>
  <c r="J58" i="21" s="1"/>
  <c r="K96" i="21" s="1"/>
  <c r="C58" i="22"/>
  <c r="C58" i="24"/>
  <c r="H58" i="21"/>
  <c r="H58" i="22"/>
  <c r="H58" i="24"/>
  <c r="K87" i="21"/>
  <c r="J59" i="13"/>
  <c r="H59" i="13"/>
  <c r="I61" i="13"/>
  <c r="O61" i="13"/>
  <c r="O21" i="13"/>
  <c r="C21" i="13"/>
  <c r="J20" i="13"/>
  <c r="H20" i="13"/>
  <c r="C59" i="21" l="1"/>
  <c r="C59" i="24"/>
  <c r="I62" i="13"/>
  <c r="G62" i="13"/>
  <c r="J61" i="13"/>
  <c r="H61" i="13"/>
  <c r="O62" i="13"/>
  <c r="C62" i="13"/>
  <c r="C22" i="13"/>
  <c r="C60" i="24" s="1"/>
  <c r="I22" i="13"/>
  <c r="H60" i="24" s="1"/>
  <c r="G22" i="13"/>
  <c r="F60" i="24" s="1"/>
  <c r="G60" i="24" s="1"/>
  <c r="H21" i="13"/>
  <c r="J21" i="13"/>
  <c r="B4" i="25"/>
  <c r="R7" i="25"/>
  <c r="B7" i="25"/>
  <c r="H8" i="25"/>
  <c r="C6" i="25"/>
  <c r="D6" i="25" s="1"/>
  <c r="C13" i="25"/>
  <c r="D13" i="25" s="1"/>
  <c r="C12" i="25"/>
  <c r="D12" i="25" s="1"/>
  <c r="C11" i="25"/>
  <c r="D11" i="25" s="1"/>
  <c r="D10" i="25"/>
  <c r="C9" i="25"/>
  <c r="D9" i="25" s="1"/>
  <c r="C8" i="25"/>
  <c r="D8" i="25" s="1"/>
  <c r="D7" i="25"/>
  <c r="H13" i="25"/>
  <c r="F13" i="25"/>
  <c r="H12" i="25"/>
  <c r="F12" i="25"/>
  <c r="H11" i="25"/>
  <c r="F11" i="25"/>
  <c r="H10" i="25"/>
  <c r="F10" i="25"/>
  <c r="H9" i="25"/>
  <c r="F9" i="25"/>
  <c r="F8" i="25"/>
  <c r="H7" i="25"/>
  <c r="F7" i="25"/>
  <c r="H6" i="25"/>
  <c r="F6" i="25"/>
  <c r="K4" i="25"/>
  <c r="I4" i="25"/>
  <c r="J4" i="25" s="1"/>
  <c r="L4" i="25" s="1"/>
  <c r="I3" i="25"/>
  <c r="J3" i="25" s="1"/>
  <c r="L3" i="25" s="1"/>
  <c r="J62" i="13" l="1"/>
  <c r="H62" i="13"/>
  <c r="I63" i="13"/>
  <c r="G63" i="13"/>
  <c r="O63" i="13"/>
  <c r="C63" i="13"/>
  <c r="C23" i="13"/>
  <c r="C61" i="24" s="1"/>
  <c r="J22" i="13"/>
  <c r="H22" i="13"/>
  <c r="I23" i="13"/>
  <c r="H61" i="24" s="1"/>
  <c r="G23" i="13"/>
  <c r="F61" i="24" s="1"/>
  <c r="G61" i="24" s="1"/>
  <c r="G10" i="25"/>
  <c r="E10" i="25"/>
  <c r="G9" i="25"/>
  <c r="E9" i="25"/>
  <c r="G11" i="25"/>
  <c r="E11" i="25"/>
  <c r="G12" i="25"/>
  <c r="E12" i="25"/>
  <c r="G13" i="25"/>
  <c r="E13" i="25"/>
  <c r="G6" i="25"/>
  <c r="E6" i="25"/>
  <c r="G7" i="25"/>
  <c r="E7" i="25"/>
  <c r="G8" i="25"/>
  <c r="E8" i="25"/>
  <c r="S6" i="25"/>
  <c r="T6" i="25" s="1"/>
  <c r="R8" i="25"/>
  <c r="S7" i="25"/>
  <c r="T7" i="25" s="1"/>
  <c r="N9" i="25"/>
  <c r="N10" i="25"/>
  <c r="N11" i="25"/>
  <c r="N12" i="25"/>
  <c r="N13" i="25"/>
  <c r="M4" i="25"/>
  <c r="B8" i="25"/>
  <c r="M7" i="25"/>
  <c r="M6" i="25"/>
  <c r="N6" i="25"/>
  <c r="N7" i="25"/>
  <c r="N8" i="25"/>
  <c r="K6" i="25"/>
  <c r="K7" i="25"/>
  <c r="K9" i="25"/>
  <c r="K11" i="25"/>
  <c r="K13" i="25"/>
  <c r="I6" i="25"/>
  <c r="J6" i="25" s="1"/>
  <c r="L6" i="25" s="1"/>
  <c r="I7" i="25"/>
  <c r="J7" i="25" s="1"/>
  <c r="L7" i="25" s="1"/>
  <c r="I8" i="25"/>
  <c r="J8" i="25" s="1"/>
  <c r="L8" i="25" s="1"/>
  <c r="I9" i="25"/>
  <c r="J9" i="25" s="1"/>
  <c r="L9" i="25" s="1"/>
  <c r="I10" i="25"/>
  <c r="J10" i="25" s="1"/>
  <c r="L10" i="25" s="1"/>
  <c r="I11" i="25"/>
  <c r="J11" i="25" s="1"/>
  <c r="L11" i="25" s="1"/>
  <c r="I12" i="25"/>
  <c r="J12" i="25" s="1"/>
  <c r="L12" i="25" s="1"/>
  <c r="I13" i="25"/>
  <c r="J13" i="25" s="1"/>
  <c r="L13" i="25" s="1"/>
  <c r="K8" i="25"/>
  <c r="K10" i="25"/>
  <c r="K12" i="25"/>
  <c r="D4" i="25"/>
  <c r="S4" i="25" s="1"/>
  <c r="T4" i="25" s="1"/>
  <c r="D3" i="25"/>
  <c r="S3" i="25" s="1"/>
  <c r="D51" i="25"/>
  <c r="F51" i="25" s="1"/>
  <c r="G51" i="25" s="1"/>
  <c r="I51" i="25" s="1"/>
  <c r="D50" i="25"/>
  <c r="F50" i="25" s="1"/>
  <c r="G50" i="25" s="1"/>
  <c r="I50" i="25" s="1"/>
  <c r="D49" i="25"/>
  <c r="F49" i="25" s="1"/>
  <c r="G49" i="25" s="1"/>
  <c r="I49" i="25" s="1"/>
  <c r="D48" i="25"/>
  <c r="F48" i="25" s="1"/>
  <c r="G48" i="25" s="1"/>
  <c r="I48" i="25" s="1"/>
  <c r="D47" i="25"/>
  <c r="F47" i="25" s="1"/>
  <c r="G47" i="25" s="1"/>
  <c r="I47" i="25" s="1"/>
  <c r="D46" i="25"/>
  <c r="F46" i="25" s="1"/>
  <c r="G46" i="25" s="1"/>
  <c r="I46" i="25" s="1"/>
  <c r="D45" i="25"/>
  <c r="F45" i="25" s="1"/>
  <c r="G45" i="25" s="1"/>
  <c r="I45" i="25" s="1"/>
  <c r="D44" i="25"/>
  <c r="F44" i="25" s="1"/>
  <c r="G44" i="25" s="1"/>
  <c r="I44" i="25" s="1"/>
  <c r="H63" i="13" l="1"/>
  <c r="J63" i="13"/>
  <c r="F65" i="13"/>
  <c r="I64" i="13"/>
  <c r="G64" i="13"/>
  <c r="O65" i="13"/>
  <c r="C64" i="13"/>
  <c r="U6" i="25"/>
  <c r="O25" i="13"/>
  <c r="C24" i="13"/>
  <c r="C62" i="24" s="1"/>
  <c r="H23" i="13"/>
  <c r="J23" i="13"/>
  <c r="F25" i="13"/>
  <c r="Q25" i="13" s="1"/>
  <c r="I24" i="13"/>
  <c r="H62" i="24" s="1"/>
  <c r="G24" i="13"/>
  <c r="T3" i="25"/>
  <c r="U3" i="25"/>
  <c r="U7" i="25"/>
  <c r="R9" i="25"/>
  <c r="S8" i="25"/>
  <c r="B9" i="25"/>
  <c r="M8" i="25"/>
  <c r="O8" i="25" s="1"/>
  <c r="Q8" i="25" s="1"/>
  <c r="N3" i="25"/>
  <c r="U4" i="25"/>
  <c r="N4" i="25"/>
  <c r="O4" i="25" s="1"/>
  <c r="Q4" i="25" s="1"/>
  <c r="O7" i="25"/>
  <c r="Q7" i="25" s="1"/>
  <c r="O6" i="25"/>
  <c r="Q6" i="25" s="1"/>
  <c r="H60" i="25"/>
  <c r="H61" i="25"/>
  <c r="F61" i="25"/>
  <c r="F60" i="25"/>
  <c r="M25" i="13" l="1"/>
  <c r="K25" i="13"/>
  <c r="N25" i="13"/>
  <c r="L25" i="13"/>
  <c r="Q65" i="13"/>
  <c r="N65" i="13"/>
  <c r="L65" i="13"/>
  <c r="M65" i="13"/>
  <c r="K65" i="13"/>
  <c r="E63" i="24"/>
  <c r="F62" i="24"/>
  <c r="G62" i="24" s="1"/>
  <c r="J64" i="13"/>
  <c r="H64" i="13"/>
  <c r="F66" i="13"/>
  <c r="G65" i="13"/>
  <c r="I65" i="13"/>
  <c r="O66" i="13"/>
  <c r="C65" i="13"/>
  <c r="O26" i="13"/>
  <c r="C25" i="13"/>
  <c r="C63" i="24" s="1"/>
  <c r="J24" i="13"/>
  <c r="H24" i="13"/>
  <c r="F26" i="13"/>
  <c r="Q26" i="13" s="1"/>
  <c r="G25" i="13"/>
  <c r="F63" i="24" s="1"/>
  <c r="G63" i="24" s="1"/>
  <c r="E122" i="24" s="1"/>
  <c r="C122" i="24" s="1"/>
  <c r="I25" i="13"/>
  <c r="H63" i="24" s="1"/>
  <c r="U8" i="25"/>
  <c r="T8" i="25"/>
  <c r="R10" i="25"/>
  <c r="S9" i="25"/>
  <c r="B10" i="25"/>
  <c r="M9" i="25"/>
  <c r="O9" i="25" s="1"/>
  <c r="Q9" i="25" s="1"/>
  <c r="O3" i="25"/>
  <c r="Q3" i="25" s="1"/>
  <c r="F59" i="25"/>
  <c r="I56" i="25"/>
  <c r="D61" i="25"/>
  <c r="D60" i="25"/>
  <c r="D59" i="25"/>
  <c r="F58" i="25"/>
  <c r="D58" i="25"/>
  <c r="F57" i="25"/>
  <c r="D57" i="25"/>
  <c r="F56" i="25"/>
  <c r="D56" i="25"/>
  <c r="I55" i="25"/>
  <c r="F55" i="25"/>
  <c r="D55" i="25"/>
  <c r="D54" i="25"/>
  <c r="I54" i="25"/>
  <c r="F54" i="25"/>
  <c r="M26" i="13" l="1"/>
  <c r="K26" i="13"/>
  <c r="N26" i="13"/>
  <c r="L26" i="13"/>
  <c r="Q66" i="13"/>
  <c r="N66" i="13"/>
  <c r="L66" i="13"/>
  <c r="M66" i="13"/>
  <c r="K66" i="13"/>
  <c r="E64" i="24"/>
  <c r="I66" i="13"/>
  <c r="G66" i="13"/>
  <c r="J65" i="13"/>
  <c r="H65" i="13"/>
  <c r="O67" i="13"/>
  <c r="C66" i="13"/>
  <c r="O27" i="13"/>
  <c r="C26" i="13"/>
  <c r="C64" i="24" s="1"/>
  <c r="H25" i="13"/>
  <c r="J25" i="13"/>
  <c r="I26" i="13"/>
  <c r="H64" i="24" s="1"/>
  <c r="G26" i="13"/>
  <c r="F64" i="24" s="1"/>
  <c r="G64" i="24" s="1"/>
  <c r="E127" i="24" s="1"/>
  <c r="C127" i="24" s="1"/>
  <c r="U9" i="25"/>
  <c r="T9" i="25"/>
  <c r="R11" i="25"/>
  <c r="S10" i="25"/>
  <c r="B11" i="25"/>
  <c r="M10" i="25"/>
  <c r="O10" i="25" s="1"/>
  <c r="Q10" i="25" s="1"/>
  <c r="G55" i="25"/>
  <c r="K55" i="25" s="1"/>
  <c r="G54" i="25"/>
  <c r="J54" i="25" s="1"/>
  <c r="G56" i="25"/>
  <c r="J56" i="25" s="1"/>
  <c r="I58" i="25"/>
  <c r="G58" i="25" s="1"/>
  <c r="I57" i="25"/>
  <c r="G57" i="25" s="1"/>
  <c r="K54" i="25"/>
  <c r="E91" i="8"/>
  <c r="F64" i="8"/>
  <c r="F63" i="8"/>
  <c r="F62" i="8"/>
  <c r="F61" i="8"/>
  <c r="F60" i="8"/>
  <c r="F59" i="8"/>
  <c r="F58" i="8"/>
  <c r="F53" i="8"/>
  <c r="F52" i="8"/>
  <c r="F51" i="8"/>
  <c r="F50" i="8"/>
  <c r="F49" i="8"/>
  <c r="F48" i="8"/>
  <c r="F47" i="8"/>
  <c r="F46" i="8"/>
  <c r="F45" i="8"/>
  <c r="F31" i="8"/>
  <c r="F30" i="8"/>
  <c r="F29" i="8"/>
  <c r="F28" i="8"/>
  <c r="F27" i="8"/>
  <c r="F26" i="8"/>
  <c r="F42" i="8"/>
  <c r="F41" i="8"/>
  <c r="F40" i="8"/>
  <c r="F39" i="8"/>
  <c r="F38" i="8"/>
  <c r="F37" i="8"/>
  <c r="F36" i="8"/>
  <c r="F35" i="8"/>
  <c r="F34" i="8"/>
  <c r="B30" i="8"/>
  <c r="F67" i="13" l="1"/>
  <c r="F27" i="13"/>
  <c r="Q27" i="13" s="1"/>
  <c r="J66" i="13"/>
  <c r="H66" i="13"/>
  <c r="F68" i="13"/>
  <c r="I67" i="13"/>
  <c r="G67" i="13"/>
  <c r="O68" i="13"/>
  <c r="C67" i="13"/>
  <c r="O28" i="13"/>
  <c r="C27" i="13"/>
  <c r="C65" i="24" s="1"/>
  <c r="J26" i="13"/>
  <c r="H26" i="13"/>
  <c r="I27" i="13"/>
  <c r="H65" i="24" s="1"/>
  <c r="G27" i="13"/>
  <c r="F65" i="24" s="1"/>
  <c r="G65" i="24" s="1"/>
  <c r="E131" i="24" s="1"/>
  <c r="C131" i="24" s="1"/>
  <c r="U10" i="25"/>
  <c r="T10" i="25"/>
  <c r="R12" i="25"/>
  <c r="S11" i="25"/>
  <c r="B12" i="25"/>
  <c r="M11" i="25"/>
  <c r="O11" i="25" s="1"/>
  <c r="Q11" i="25" s="1"/>
  <c r="J55" i="25"/>
  <c r="J57" i="25"/>
  <c r="K57" i="25"/>
  <c r="K56" i="25"/>
  <c r="I59" i="25"/>
  <c r="G59" i="25" s="1"/>
  <c r="J58" i="25"/>
  <c r="K58" i="25"/>
  <c r="K107" i="15"/>
  <c r="K106" i="15"/>
  <c r="K105" i="15"/>
  <c r="K104" i="15"/>
  <c r="K103" i="15"/>
  <c r="K102" i="15"/>
  <c r="K101" i="15"/>
  <c r="G101" i="15"/>
  <c r="H101" i="15" s="1"/>
  <c r="E101" i="15"/>
  <c r="N27" i="13" l="1"/>
  <c r="L27" i="13"/>
  <c r="M27" i="13"/>
  <c r="Q68" i="13"/>
  <c r="N68" i="13"/>
  <c r="L68" i="13"/>
  <c r="M68" i="13"/>
  <c r="Q67" i="13"/>
  <c r="M67" i="13"/>
  <c r="N67" i="13"/>
  <c r="L67" i="13"/>
  <c r="E65" i="24"/>
  <c r="F28" i="13"/>
  <c r="Q28" i="13" s="1"/>
  <c r="H67" i="13"/>
  <c r="J67" i="13"/>
  <c r="F69" i="13"/>
  <c r="I68" i="13"/>
  <c r="G68" i="13"/>
  <c r="O69" i="13"/>
  <c r="C68" i="13"/>
  <c r="C28" i="13"/>
  <c r="C66" i="24" s="1"/>
  <c r="H27" i="13"/>
  <c r="J27" i="13"/>
  <c r="D67" i="24"/>
  <c r="I28" i="13"/>
  <c r="H66" i="24" s="1"/>
  <c r="G28" i="13"/>
  <c r="F66" i="24" s="1"/>
  <c r="G66" i="24" s="1"/>
  <c r="U11" i="25"/>
  <c r="T11" i="25"/>
  <c r="R13" i="25"/>
  <c r="S12" i="25"/>
  <c r="B13" i="25"/>
  <c r="M12" i="25"/>
  <c r="O12" i="25" s="1"/>
  <c r="Q12" i="25" s="1"/>
  <c r="K59" i="25"/>
  <c r="J59" i="25"/>
  <c r="I60" i="25"/>
  <c r="G60" i="25" s="1"/>
  <c r="O57" i="13"/>
  <c r="O17" i="13"/>
  <c r="O56" i="13"/>
  <c r="O16" i="13"/>
  <c r="O55" i="13"/>
  <c r="O15" i="13"/>
  <c r="O54" i="13"/>
  <c r="O14" i="13"/>
  <c r="O53" i="13"/>
  <c r="O13" i="13"/>
  <c r="O12" i="13"/>
  <c r="O11" i="13"/>
  <c r="O10" i="13"/>
  <c r="M28" i="13" l="1"/>
  <c r="N28" i="13"/>
  <c r="L28" i="13"/>
  <c r="Q69" i="13"/>
  <c r="N69" i="13"/>
  <c r="M69" i="13"/>
  <c r="E135" i="24"/>
  <c r="C135" i="24" s="1"/>
  <c r="E66" i="24"/>
  <c r="O29" i="13"/>
  <c r="B67" i="24"/>
  <c r="F29" i="13"/>
  <c r="Q29" i="13" s="1"/>
  <c r="Q30" i="13" s="1"/>
  <c r="J68" i="13"/>
  <c r="H68" i="13"/>
  <c r="G69" i="13"/>
  <c r="I69" i="13"/>
  <c r="O70" i="13"/>
  <c r="C69" i="13"/>
  <c r="C29" i="13"/>
  <c r="C67" i="24" s="1"/>
  <c r="J28" i="13"/>
  <c r="H28" i="13"/>
  <c r="G29" i="13"/>
  <c r="F67" i="24" s="1"/>
  <c r="G67" i="24" s="1"/>
  <c r="I29" i="13"/>
  <c r="H67" i="24" s="1"/>
  <c r="U12" i="25"/>
  <c r="T12" i="25"/>
  <c r="S13" i="25"/>
  <c r="T13" i="25" s="1"/>
  <c r="M13" i="25"/>
  <c r="O13" i="25" s="1"/>
  <c r="Q13" i="25" s="1"/>
  <c r="U13" i="25"/>
  <c r="K60" i="25"/>
  <c r="J60" i="25"/>
  <c r="I61" i="25"/>
  <c r="G61" i="25" s="1"/>
  <c r="D24" i="15"/>
  <c r="B24" i="15"/>
  <c r="D23" i="15"/>
  <c r="B23" i="15"/>
  <c r="D22" i="15"/>
  <c r="B22" i="15"/>
  <c r="D21" i="15"/>
  <c r="B21" i="15"/>
  <c r="D19" i="15"/>
  <c r="B19" i="15"/>
  <c r="D18" i="15"/>
  <c r="B18" i="15"/>
  <c r="D17" i="15"/>
  <c r="B17" i="15"/>
  <c r="D16" i="15"/>
  <c r="B16" i="15"/>
  <c r="B31" i="15"/>
  <c r="F31" i="15" s="1"/>
  <c r="B30" i="15"/>
  <c r="F30" i="15" s="1"/>
  <c r="D6" i="15"/>
  <c r="B6" i="15"/>
  <c r="D5" i="15"/>
  <c r="B5" i="15"/>
  <c r="M29" i="13" l="1"/>
  <c r="N29" i="13"/>
  <c r="F70" i="13"/>
  <c r="E70" i="13"/>
  <c r="D68" i="24"/>
  <c r="E30" i="13"/>
  <c r="E31" i="13" s="1"/>
  <c r="E32" i="13" s="1"/>
  <c r="E33" i="13" s="1"/>
  <c r="E34" i="13" s="1"/>
  <c r="E35" i="13" s="1"/>
  <c r="E36" i="13" s="1"/>
  <c r="E37" i="13" s="1"/>
  <c r="E38" i="13" s="1"/>
  <c r="E39" i="13" s="1"/>
  <c r="E40" i="13" s="1"/>
  <c r="E41" i="13" s="1"/>
  <c r="E42" i="13" s="1"/>
  <c r="E43" i="13" s="1"/>
  <c r="E44" i="13" s="1"/>
  <c r="E67" i="24"/>
  <c r="O30" i="13"/>
  <c r="B68" i="24"/>
  <c r="F71" i="13"/>
  <c r="I70" i="13"/>
  <c r="G70" i="13"/>
  <c r="J69" i="13"/>
  <c r="H69" i="13"/>
  <c r="O71" i="13"/>
  <c r="C70" i="13"/>
  <c r="O31" i="13"/>
  <c r="C68" i="24"/>
  <c r="H29" i="13"/>
  <c r="J29" i="13"/>
  <c r="I30" i="13"/>
  <c r="H68" i="24" s="1"/>
  <c r="G30" i="13"/>
  <c r="F68" i="24" s="1"/>
  <c r="G68" i="24" s="1"/>
  <c r="J61" i="25"/>
  <c r="K61" i="25"/>
  <c r="F24" i="15"/>
  <c r="G24" i="15" s="1"/>
  <c r="F22" i="15"/>
  <c r="G22" i="15" s="1"/>
  <c r="F21" i="15"/>
  <c r="G21" i="15" s="1"/>
  <c r="F23" i="15"/>
  <c r="G23" i="15" s="1"/>
  <c r="F19" i="15"/>
  <c r="G19" i="15" s="1"/>
  <c r="F17" i="15"/>
  <c r="G17" i="15" s="1"/>
  <c r="F18" i="15"/>
  <c r="G18" i="15" s="1"/>
  <c r="F16" i="15"/>
  <c r="G16" i="15" s="1"/>
  <c r="G31" i="15"/>
  <c r="G30" i="15"/>
  <c r="F5" i="15"/>
  <c r="G5" i="15" s="1"/>
  <c r="F6" i="15"/>
  <c r="G6" i="15" s="1"/>
  <c r="H55" i="21"/>
  <c r="F55" i="21"/>
  <c r="G55" i="21" s="1"/>
  <c r="E55" i="21"/>
  <c r="C55" i="21"/>
  <c r="J55" i="21" s="1"/>
  <c r="H55" i="22"/>
  <c r="F55" i="22"/>
  <c r="G55" i="22" s="1"/>
  <c r="E55" i="22"/>
  <c r="C55" i="22"/>
  <c r="H55" i="24"/>
  <c r="F55" i="24"/>
  <c r="G55" i="24" s="1"/>
  <c r="E55" i="24"/>
  <c r="C55" i="24"/>
  <c r="I57" i="13"/>
  <c r="G57" i="13"/>
  <c r="F57" i="13"/>
  <c r="C57" i="13"/>
  <c r="I17" i="13"/>
  <c r="G17" i="13"/>
  <c r="F17" i="13"/>
  <c r="C17" i="13"/>
  <c r="E45" i="13" l="1"/>
  <c r="E48" i="13" s="1"/>
  <c r="E47" i="13"/>
  <c r="Q71" i="13"/>
  <c r="N71" i="13"/>
  <c r="M71" i="13"/>
  <c r="M30" i="13"/>
  <c r="N30" i="13"/>
  <c r="Q70" i="13"/>
  <c r="N70" i="13"/>
  <c r="M70" i="13"/>
  <c r="E71" i="13"/>
  <c r="Q31" i="13"/>
  <c r="Q32" i="13" s="1"/>
  <c r="E68" i="24"/>
  <c r="K83" i="21"/>
  <c r="I83" i="21" s="1"/>
  <c r="J70" i="13"/>
  <c r="H70" i="13"/>
  <c r="I71" i="13"/>
  <c r="G71" i="13"/>
  <c r="O72" i="13"/>
  <c r="O32" i="13"/>
  <c r="J30" i="13"/>
  <c r="H30" i="13"/>
  <c r="I31" i="13"/>
  <c r="G31" i="13"/>
  <c r="H57" i="13"/>
  <c r="J57" i="13"/>
  <c r="H17" i="13"/>
  <c r="J17" i="13"/>
  <c r="K10" i="23"/>
  <c r="M10" i="23" s="1"/>
  <c r="O10" i="23" s="1"/>
  <c r="K9" i="23"/>
  <c r="M9" i="23" s="1"/>
  <c r="O9" i="23" s="1"/>
  <c r="C94" i="24"/>
  <c r="C95" i="24" s="1"/>
  <c r="C96" i="24" s="1"/>
  <c r="D93" i="24"/>
  <c r="C92" i="24"/>
  <c r="D92" i="24" s="1"/>
  <c r="C91" i="24"/>
  <c r="D91" i="24" s="1"/>
  <c r="C90" i="24"/>
  <c r="F92" i="24" s="1"/>
  <c r="D89" i="24"/>
  <c r="C88" i="24"/>
  <c r="D88" i="24" s="1"/>
  <c r="C87" i="24"/>
  <c r="D87" i="24" s="1"/>
  <c r="D86" i="24"/>
  <c r="C86" i="24"/>
  <c r="C85" i="24"/>
  <c r="G91" i="24" s="1"/>
  <c r="D84" i="24"/>
  <c r="E83" i="24"/>
  <c r="C83" i="24"/>
  <c r="D83" i="24" s="1"/>
  <c r="D82" i="24"/>
  <c r="C82" i="24"/>
  <c r="A82" i="24"/>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C81" i="24"/>
  <c r="D80" i="24"/>
  <c r="A80" i="24"/>
  <c r="A81" i="24" s="1"/>
  <c r="G77" i="24"/>
  <c r="H54" i="24"/>
  <c r="F54" i="24"/>
  <c r="G54" i="24" s="1"/>
  <c r="E54" i="24"/>
  <c r="C54" i="24"/>
  <c r="H53" i="24"/>
  <c r="F53" i="24"/>
  <c r="G53" i="24" s="1"/>
  <c r="E53" i="24"/>
  <c r="C53" i="24"/>
  <c r="H52" i="24"/>
  <c r="F52" i="24"/>
  <c r="G52" i="24" s="1"/>
  <c r="E52" i="24"/>
  <c r="C52" i="24"/>
  <c r="H51" i="24"/>
  <c r="F51" i="24"/>
  <c r="G51" i="24" s="1"/>
  <c r="E51" i="24"/>
  <c r="C51" i="24"/>
  <c r="H50" i="24"/>
  <c r="F50" i="24"/>
  <c r="G50" i="24" s="1"/>
  <c r="E50" i="24"/>
  <c r="C50" i="24"/>
  <c r="H49" i="24"/>
  <c r="G49" i="24"/>
  <c r="F49" i="24"/>
  <c r="E49" i="24"/>
  <c r="C49" i="24"/>
  <c r="A3" i="24"/>
  <c r="A4" i="24" s="1"/>
  <c r="A5" i="24" s="1"/>
  <c r="A6" i="24" s="1"/>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K7" i="23"/>
  <c r="M7" i="23" s="1"/>
  <c r="O7" i="23" s="1"/>
  <c r="K6" i="23"/>
  <c r="M6" i="23" s="1"/>
  <c r="O6" i="23" s="1"/>
  <c r="K5" i="23"/>
  <c r="M5" i="23" s="1"/>
  <c r="O5" i="23" s="1"/>
  <c r="M4" i="23"/>
  <c r="O4" i="23" s="1"/>
  <c r="B96" i="13"/>
  <c r="B95" i="13"/>
  <c r="B94" i="13"/>
  <c r="Q33" i="13" l="1"/>
  <c r="Q34" i="13" s="1"/>
  <c r="Q35" i="13" s="1"/>
  <c r="Q36" i="13" s="1"/>
  <c r="Q37" i="13" s="1"/>
  <c r="Q38" i="13" s="1"/>
  <c r="Q39" i="13" s="1"/>
  <c r="Q40" i="13" s="1"/>
  <c r="Q41" i="13" s="1"/>
  <c r="Q42" i="13" s="1"/>
  <c r="Q43" i="13" s="1"/>
  <c r="Q44" i="13" s="1"/>
  <c r="Q72" i="13"/>
  <c r="N72" i="13"/>
  <c r="M72" i="13"/>
  <c r="M31" i="13"/>
  <c r="N31" i="13"/>
  <c r="E72" i="13"/>
  <c r="E73" i="13" s="1"/>
  <c r="E74" i="13" s="1"/>
  <c r="E75" i="13" s="1"/>
  <c r="E76" i="13" s="1"/>
  <c r="E77" i="13" s="1"/>
  <c r="E78" i="13" s="1"/>
  <c r="E79" i="13" s="1"/>
  <c r="E80" i="13" s="1"/>
  <c r="E81" i="13" s="1"/>
  <c r="E82" i="13" s="1"/>
  <c r="E83" i="13" s="1"/>
  <c r="E84" i="13" s="1"/>
  <c r="E85" i="13" s="1"/>
  <c r="E86" i="13" s="1"/>
  <c r="I62" i="24"/>
  <c r="I65" i="24"/>
  <c r="I63" i="24"/>
  <c r="I64" i="24"/>
  <c r="I66" i="24"/>
  <c r="I67" i="24"/>
  <c r="I68" i="24"/>
  <c r="D95" i="13"/>
  <c r="G95" i="13"/>
  <c r="I95" i="13" s="1"/>
  <c r="D94" i="13"/>
  <c r="G94" i="13"/>
  <c r="I94" i="13" s="1"/>
  <c r="D96" i="13"/>
  <c r="G96" i="13"/>
  <c r="I96" i="13" s="1"/>
  <c r="I61" i="24"/>
  <c r="I60" i="24"/>
  <c r="E92" i="24"/>
  <c r="D90" i="24"/>
  <c r="I57" i="24"/>
  <c r="I59" i="24"/>
  <c r="I86" i="21"/>
  <c r="I85" i="21"/>
  <c r="I84" i="21"/>
  <c r="I52" i="24"/>
  <c r="I58" i="24"/>
  <c r="I56" i="24"/>
  <c r="I55" i="24"/>
  <c r="J5" i="23"/>
  <c r="J7" i="23"/>
  <c r="D94" i="24"/>
  <c r="H71" i="13"/>
  <c r="J71" i="13"/>
  <c r="I72" i="13"/>
  <c r="G72" i="13"/>
  <c r="O76" i="13"/>
  <c r="O36" i="13"/>
  <c r="I32" i="13"/>
  <c r="G32" i="13"/>
  <c r="H31" i="13"/>
  <c r="J31" i="13"/>
  <c r="J10" i="23"/>
  <c r="I10" i="23"/>
  <c r="J9" i="23"/>
  <c r="I9" i="23"/>
  <c r="I4" i="23"/>
  <c r="I6" i="23"/>
  <c r="J4" i="23"/>
  <c r="J6" i="23"/>
  <c r="I5" i="23"/>
  <c r="I7" i="23"/>
  <c r="D96" i="24"/>
  <c r="D95" i="24"/>
  <c r="F96" i="24"/>
  <c r="D97" i="24"/>
  <c r="I53" i="24"/>
  <c r="I54" i="24"/>
  <c r="G96" i="24"/>
  <c r="G88" i="24"/>
  <c r="F83" i="24"/>
  <c r="D81" i="24"/>
  <c r="G83" i="24"/>
  <c r="E88" i="24"/>
  <c r="D85" i="24"/>
  <c r="F88" i="24"/>
  <c r="G92" i="24"/>
  <c r="D113" i="21"/>
  <c r="D111" i="22"/>
  <c r="D110" i="22"/>
  <c r="D109" i="22"/>
  <c r="D107" i="22"/>
  <c r="D106" i="22"/>
  <c r="D105" i="22"/>
  <c r="D104" i="22"/>
  <c r="D103" i="22"/>
  <c r="D102" i="22"/>
  <c r="D101" i="22"/>
  <c r="D100" i="22"/>
  <c r="D99" i="22"/>
  <c r="D98" i="22"/>
  <c r="D97" i="22"/>
  <c r="D95" i="22"/>
  <c r="D94" i="22"/>
  <c r="D93" i="22"/>
  <c r="D92" i="22"/>
  <c r="D91" i="22"/>
  <c r="D89" i="22"/>
  <c r="D88" i="22"/>
  <c r="D87" i="22"/>
  <c r="D86" i="22"/>
  <c r="D85" i="22"/>
  <c r="D84" i="22"/>
  <c r="D82" i="22"/>
  <c r="D81" i="22"/>
  <c r="D80" i="22"/>
  <c r="D78" i="22"/>
  <c r="E77" i="22"/>
  <c r="D77" i="22"/>
  <c r="D76" i="22"/>
  <c r="D75" i="22"/>
  <c r="D74" i="22"/>
  <c r="F77" i="22"/>
  <c r="D73" i="22"/>
  <c r="D72" i="22"/>
  <c r="D70" i="22"/>
  <c r="D69" i="22"/>
  <c r="A69" i="22"/>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G66" i="22"/>
  <c r="H54" i="22"/>
  <c r="F54" i="22"/>
  <c r="G54" i="22" s="1"/>
  <c r="E54" i="22"/>
  <c r="C54" i="22"/>
  <c r="H53" i="22"/>
  <c r="F53" i="22"/>
  <c r="G53" i="22" s="1"/>
  <c r="E53" i="22"/>
  <c r="C53" i="22"/>
  <c r="H52" i="22"/>
  <c r="F52" i="22"/>
  <c r="G52" i="22" s="1"/>
  <c r="E52" i="22"/>
  <c r="C52" i="22"/>
  <c r="H51" i="22"/>
  <c r="F51" i="22"/>
  <c r="G51" i="22" s="1"/>
  <c r="E51" i="22"/>
  <c r="C51" i="22"/>
  <c r="H50" i="22"/>
  <c r="F50" i="22"/>
  <c r="G50" i="22" s="1"/>
  <c r="E50" i="22"/>
  <c r="C50" i="22"/>
  <c r="H49" i="22"/>
  <c r="F49" i="22"/>
  <c r="G49" i="22" s="1"/>
  <c r="E49" i="22"/>
  <c r="C49" i="22"/>
  <c r="A4" i="22"/>
  <c r="A5" i="22" s="1"/>
  <c r="A6" i="22" s="1"/>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3" i="22"/>
  <c r="D115" i="21"/>
  <c r="G70" i="21"/>
  <c r="D83" i="21"/>
  <c r="A74" i="2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D116" i="21"/>
  <c r="D109" i="21"/>
  <c r="D101" i="21"/>
  <c r="D93" i="21"/>
  <c r="D78" i="21"/>
  <c r="C86" i="21"/>
  <c r="D86" i="21" s="1"/>
  <c r="C85" i="21"/>
  <c r="D85" i="21" s="1"/>
  <c r="C84" i="21"/>
  <c r="C82" i="21"/>
  <c r="D82" i="21" s="1"/>
  <c r="C81" i="21"/>
  <c r="D81" i="21" s="1"/>
  <c r="C80" i="21"/>
  <c r="D80" i="21" s="1"/>
  <c r="C79" i="21"/>
  <c r="C77" i="21"/>
  <c r="D77" i="21" s="1"/>
  <c r="C76" i="21"/>
  <c r="C75" i="21"/>
  <c r="D75" i="21" s="1"/>
  <c r="D74" i="21"/>
  <c r="H54" i="21"/>
  <c r="F54" i="21"/>
  <c r="G54" i="21" s="1"/>
  <c r="E54" i="21"/>
  <c r="C54" i="21"/>
  <c r="J54" i="21" s="1"/>
  <c r="H53" i="21"/>
  <c r="F53" i="21"/>
  <c r="G53" i="21" s="1"/>
  <c r="E53" i="21"/>
  <c r="C53" i="21"/>
  <c r="J53" i="21" s="1"/>
  <c r="H52" i="21"/>
  <c r="F52" i="21"/>
  <c r="G52" i="21" s="1"/>
  <c r="I57" i="21" s="1"/>
  <c r="E52" i="21"/>
  <c r="C52" i="21"/>
  <c r="J52" i="21" s="1"/>
  <c r="K57" i="21" s="1"/>
  <c r="H51" i="21"/>
  <c r="F51" i="21"/>
  <c r="G51" i="21" s="1"/>
  <c r="E51" i="21"/>
  <c r="C51" i="21"/>
  <c r="J51" i="21" s="1"/>
  <c r="H50" i="21"/>
  <c r="F50" i="21"/>
  <c r="G50" i="21" s="1"/>
  <c r="E50" i="21"/>
  <c r="C50" i="21"/>
  <c r="J50" i="21" s="1"/>
  <c r="H49" i="21"/>
  <c r="F49" i="21"/>
  <c r="G49" i="21" s="1"/>
  <c r="E49" i="21"/>
  <c r="C49" i="21"/>
  <c r="J49" i="21" s="1"/>
  <c r="A3" i="21"/>
  <c r="A4" i="21" s="1"/>
  <c r="A5" i="21" s="1"/>
  <c r="A6" i="21" s="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Q45" i="13" l="1"/>
  <c r="Q48" i="13" s="1"/>
  <c r="Q47" i="13"/>
  <c r="Q76" i="13"/>
  <c r="N76" i="13"/>
  <c r="M32" i="13"/>
  <c r="N32" i="13"/>
  <c r="J95" i="13"/>
  <c r="N36" i="13"/>
  <c r="J96" i="13"/>
  <c r="J94" i="13"/>
  <c r="I56" i="22"/>
  <c r="I57" i="22"/>
  <c r="I58" i="22"/>
  <c r="K52" i="21"/>
  <c r="K58" i="21"/>
  <c r="K56" i="21"/>
  <c r="K55" i="21"/>
  <c r="K53" i="21"/>
  <c r="K74" i="21"/>
  <c r="I74" i="21" s="1"/>
  <c r="J85" i="21" s="1"/>
  <c r="K54" i="21"/>
  <c r="K78" i="21"/>
  <c r="I78" i="21" s="1"/>
  <c r="G77" i="21"/>
  <c r="F82" i="21"/>
  <c r="F77" i="21"/>
  <c r="G82" i="21"/>
  <c r="I58" i="21"/>
  <c r="I56" i="21"/>
  <c r="J72" i="13"/>
  <c r="H72" i="13"/>
  <c r="J32" i="13"/>
  <c r="H32" i="13"/>
  <c r="D89" i="21"/>
  <c r="D97" i="21"/>
  <c r="D105" i="21"/>
  <c r="I52" i="21"/>
  <c r="I55" i="21"/>
  <c r="I52" i="22"/>
  <c r="I55" i="22"/>
  <c r="I54" i="22"/>
  <c r="I53" i="22"/>
  <c r="C98" i="24"/>
  <c r="F81" i="22"/>
  <c r="F90" i="22"/>
  <c r="F85" i="22"/>
  <c r="D83" i="22"/>
  <c r="F107" i="22"/>
  <c r="F111" i="22"/>
  <c r="G85" i="22"/>
  <c r="C113" i="22"/>
  <c r="D71" i="22"/>
  <c r="G111" i="22"/>
  <c r="G107" i="22"/>
  <c r="F72" i="22"/>
  <c r="G77" i="22"/>
  <c r="E81" i="22"/>
  <c r="D79" i="22"/>
  <c r="F94" i="22"/>
  <c r="D96" i="22"/>
  <c r="F98" i="22"/>
  <c r="F102" i="22"/>
  <c r="E72" i="22"/>
  <c r="G72" i="22"/>
  <c r="G80" i="22"/>
  <c r="G81" i="22"/>
  <c r="G90" i="22"/>
  <c r="G94" i="22"/>
  <c r="G98" i="22"/>
  <c r="G102" i="22"/>
  <c r="D108" i="22"/>
  <c r="D87" i="21"/>
  <c r="D91" i="21"/>
  <c r="D95" i="21"/>
  <c r="D99" i="21"/>
  <c r="D103" i="21"/>
  <c r="D107" i="21"/>
  <c r="D111" i="21"/>
  <c r="G85" i="21"/>
  <c r="F86" i="21"/>
  <c r="D84" i="21"/>
  <c r="E86" i="21"/>
  <c r="G86" i="21"/>
  <c r="I53" i="21"/>
  <c r="I54" i="21"/>
  <c r="E82" i="21"/>
  <c r="D79" i="21"/>
  <c r="D88" i="21"/>
  <c r="D90" i="21"/>
  <c r="D92" i="21"/>
  <c r="D94" i="21"/>
  <c r="D96" i="21"/>
  <c r="D98" i="21"/>
  <c r="D100" i="21"/>
  <c r="D102" i="21"/>
  <c r="D104" i="21"/>
  <c r="D106" i="21"/>
  <c r="D108" i="21"/>
  <c r="D110" i="21"/>
  <c r="D112" i="21"/>
  <c r="D114" i="21"/>
  <c r="D76" i="21"/>
  <c r="E77" i="21"/>
  <c r="J53" i="19"/>
  <c r="J52" i="19"/>
  <c r="J51" i="19"/>
  <c r="J50" i="19"/>
  <c r="G38" i="19"/>
  <c r="G37" i="19"/>
  <c r="G36" i="19"/>
  <c r="G35" i="19"/>
  <c r="J76" i="19"/>
  <c r="J75" i="19"/>
  <c r="I78" i="19"/>
  <c r="I77" i="19"/>
  <c r="I76" i="19"/>
  <c r="I75" i="19"/>
  <c r="L78" i="19"/>
  <c r="H78" i="19"/>
  <c r="F78" i="19"/>
  <c r="E78" i="19"/>
  <c r="L77" i="19"/>
  <c r="H77" i="19"/>
  <c r="F77" i="19"/>
  <c r="E77" i="19"/>
  <c r="L76" i="19"/>
  <c r="H76" i="19"/>
  <c r="F76" i="19"/>
  <c r="E76" i="19"/>
  <c r="D76" i="19"/>
  <c r="G76" i="19" s="1"/>
  <c r="K76" i="19" s="1"/>
  <c r="L75" i="19"/>
  <c r="H75" i="19"/>
  <c r="F75" i="19"/>
  <c r="E75" i="19"/>
  <c r="H3" i="16"/>
  <c r="A6" i="19"/>
  <c r="A7" i="19" s="1"/>
  <c r="A18" i="19"/>
  <c r="A19" i="19" s="1"/>
  <c r="C51" i="19" s="1"/>
  <c r="A26" i="19"/>
  <c r="E82" i="19"/>
  <c r="F82" i="19" s="1"/>
  <c r="D71" i="19" s="1"/>
  <c r="E81" i="19"/>
  <c r="F81" i="19" s="1"/>
  <c r="D70" i="19" s="1"/>
  <c r="L73" i="19"/>
  <c r="H73" i="19" s="1"/>
  <c r="E73" i="19"/>
  <c r="F73" i="19" s="1"/>
  <c r="L72" i="19"/>
  <c r="H72" i="19" s="1"/>
  <c r="E72" i="19"/>
  <c r="F72" i="19" s="1"/>
  <c r="L71" i="19"/>
  <c r="H71" i="19" s="1"/>
  <c r="E71" i="19"/>
  <c r="F71" i="19" s="1"/>
  <c r="L70" i="19"/>
  <c r="H70" i="19" s="1"/>
  <c r="E70" i="19"/>
  <c r="F70" i="19" s="1"/>
  <c r="E53" i="19"/>
  <c r="D52" i="19"/>
  <c r="E52" i="19" s="1"/>
  <c r="E51" i="19"/>
  <c r="E50" i="19"/>
  <c r="I81" i="21" l="1"/>
  <c r="J81" i="21" s="1"/>
  <c r="I79" i="21"/>
  <c r="J79" i="21" s="1"/>
  <c r="I82" i="21"/>
  <c r="J82" i="21" s="1"/>
  <c r="I80" i="21"/>
  <c r="J80" i="21" s="1"/>
  <c r="J78" i="21"/>
  <c r="J94" i="21"/>
  <c r="J93" i="21"/>
  <c r="J87" i="21"/>
  <c r="I75" i="21"/>
  <c r="J75" i="21" s="1"/>
  <c r="J96" i="21"/>
  <c r="J90" i="21"/>
  <c r="I77" i="21"/>
  <c r="J77" i="21" s="1"/>
  <c r="J98" i="21"/>
  <c r="J102" i="21"/>
  <c r="J106" i="21"/>
  <c r="J110" i="21"/>
  <c r="J114" i="21"/>
  <c r="J74" i="21"/>
  <c r="J88" i="21"/>
  <c r="J95" i="21"/>
  <c r="J99" i="21"/>
  <c r="J103" i="21"/>
  <c r="J107" i="21"/>
  <c r="J111" i="21"/>
  <c r="J89" i="21"/>
  <c r="J115" i="21"/>
  <c r="J100" i="21"/>
  <c r="J104" i="21"/>
  <c r="J108" i="21"/>
  <c r="J112" i="21"/>
  <c r="J116" i="21"/>
  <c r="I76" i="21"/>
  <c r="J76" i="21" s="1"/>
  <c r="J91" i="21"/>
  <c r="J97" i="21"/>
  <c r="J101" i="21"/>
  <c r="J105" i="21"/>
  <c r="J109" i="21"/>
  <c r="J113" i="21"/>
  <c r="J92" i="21"/>
  <c r="J83" i="21"/>
  <c r="J86" i="21"/>
  <c r="J84" i="21"/>
  <c r="J76" i="13"/>
  <c r="H76" i="13"/>
  <c r="J36" i="13"/>
  <c r="H36" i="13"/>
  <c r="C99" i="24"/>
  <c r="D98" i="24"/>
  <c r="G95" i="21"/>
  <c r="G99" i="21"/>
  <c r="C118" i="21"/>
  <c r="G90" i="21"/>
  <c r="F116" i="21"/>
  <c r="G103" i="21"/>
  <c r="G112" i="21"/>
  <c r="F112" i="21"/>
  <c r="F103" i="21"/>
  <c r="F90" i="21"/>
  <c r="F107" i="21"/>
  <c r="F99" i="21"/>
  <c r="G107" i="21"/>
  <c r="G116" i="21"/>
  <c r="F95" i="21"/>
  <c r="D75" i="19"/>
  <c r="G75" i="19" s="1"/>
  <c r="K75" i="19" s="1"/>
  <c r="A8" i="19"/>
  <c r="B36" i="19"/>
  <c r="D36" i="19" s="1"/>
  <c r="E36" i="19" s="1"/>
  <c r="H36" i="19" s="1"/>
  <c r="G70" i="19"/>
  <c r="J70" i="19" s="1"/>
  <c r="K70" i="19" s="1"/>
  <c r="B35" i="19"/>
  <c r="D35" i="19" s="1"/>
  <c r="E35" i="19" s="1"/>
  <c r="H35" i="19" s="1"/>
  <c r="C50" i="19"/>
  <c r="G50" i="19" s="1"/>
  <c r="H50" i="19" s="1"/>
  <c r="K50" i="19" s="1"/>
  <c r="G71" i="19"/>
  <c r="J71" i="19" s="1"/>
  <c r="G51" i="19"/>
  <c r="H51" i="19" s="1"/>
  <c r="K51" i="19" s="1"/>
  <c r="C56" i="13"/>
  <c r="C16" i="13"/>
  <c r="C55" i="13"/>
  <c r="C15" i="13"/>
  <c r="C54" i="13"/>
  <c r="C14" i="13"/>
  <c r="C13" i="13"/>
  <c r="C12" i="13"/>
  <c r="C11" i="13"/>
  <c r="C10" i="13"/>
  <c r="C100" i="24" l="1"/>
  <c r="D99" i="24"/>
  <c r="K71" i="19"/>
  <c r="B93" i="13"/>
  <c r="B92" i="13"/>
  <c r="B91" i="13"/>
  <c r="D91" i="13" l="1"/>
  <c r="K61" i="13" s="1"/>
  <c r="G91" i="13"/>
  <c r="I91" i="13" s="1"/>
  <c r="D93" i="13"/>
  <c r="G93" i="13"/>
  <c r="I93" i="13" s="1"/>
  <c r="D92" i="13"/>
  <c r="L61" i="13" s="1"/>
  <c r="G92" i="13"/>
  <c r="I92" i="13" s="1"/>
  <c r="C101" i="24"/>
  <c r="D100" i="24"/>
  <c r="G101" i="24"/>
  <c r="Y104" i="13"/>
  <c r="Y103" i="13"/>
  <c r="Y102" i="13"/>
  <c r="Y101" i="13"/>
  <c r="Y100" i="13"/>
  <c r="Y98" i="13"/>
  <c r="Y97" i="13"/>
  <c r="Y96" i="13"/>
  <c r="Y95" i="13"/>
  <c r="Y94" i="13"/>
  <c r="Y93" i="13"/>
  <c r="Y92" i="13"/>
  <c r="J92" i="13" l="1"/>
  <c r="M21" i="13"/>
  <c r="M61" i="13"/>
  <c r="J91" i="13"/>
  <c r="J93" i="13"/>
  <c r="L58" i="13"/>
  <c r="L60" i="13"/>
  <c r="L18" i="13"/>
  <c r="L21" i="13"/>
  <c r="L57" i="13"/>
  <c r="L59" i="13"/>
  <c r="L20" i="13"/>
  <c r="L17" i="13"/>
  <c r="L19" i="13"/>
  <c r="M57" i="13"/>
  <c r="M59" i="13"/>
  <c r="M20" i="13"/>
  <c r="M17" i="13"/>
  <c r="M19" i="13"/>
  <c r="M58" i="13"/>
  <c r="M60" i="13"/>
  <c r="M18" i="13"/>
  <c r="K21" i="13"/>
  <c r="K57" i="13"/>
  <c r="K59" i="13"/>
  <c r="K20" i="13"/>
  <c r="K17" i="13"/>
  <c r="K19" i="13"/>
  <c r="K58" i="13"/>
  <c r="K60" i="13"/>
  <c r="K18" i="13"/>
  <c r="Y106" i="13"/>
  <c r="D101" i="24"/>
  <c r="F101" i="24"/>
  <c r="I56" i="13"/>
  <c r="G56" i="13"/>
  <c r="L56" i="13" s="1"/>
  <c r="F56" i="13"/>
  <c r="I16" i="13"/>
  <c r="G16" i="13"/>
  <c r="L16" i="13" s="1"/>
  <c r="F16" i="13"/>
  <c r="K16" i="13" l="1"/>
  <c r="K56" i="13"/>
  <c r="M16" i="13"/>
  <c r="M56" i="13"/>
  <c r="C103" i="24"/>
  <c r="D102" i="24"/>
  <c r="H16" i="13"/>
  <c r="J16" i="13"/>
  <c r="H56" i="13"/>
  <c r="J56" i="13"/>
  <c r="E63" i="16"/>
  <c r="F63" i="16" s="1"/>
  <c r="H63" i="16" s="1"/>
  <c r="E62" i="16"/>
  <c r="F62" i="16" s="1"/>
  <c r="H62" i="16" s="1"/>
  <c r="E61" i="16"/>
  <c r="F61" i="16" s="1"/>
  <c r="H61" i="16" s="1"/>
  <c r="E59" i="16"/>
  <c r="F59" i="16" s="1"/>
  <c r="H59" i="16" s="1"/>
  <c r="E58" i="16"/>
  <c r="F58" i="16" s="1"/>
  <c r="H58" i="16" s="1"/>
  <c r="E57" i="16"/>
  <c r="F57" i="16" s="1"/>
  <c r="H57" i="16" s="1"/>
  <c r="C4" i="18"/>
  <c r="C5" i="18"/>
  <c r="C6" i="18"/>
  <c r="C7" i="18"/>
  <c r="C8" i="18"/>
  <c r="C9" i="18"/>
  <c r="O5" i="18"/>
  <c r="O7" i="18"/>
  <c r="O9" i="18"/>
  <c r="C104" i="24" l="1"/>
  <c r="D103" i="24"/>
  <c r="L42" i="16"/>
  <c r="G42" i="16" s="1"/>
  <c r="L40" i="16"/>
  <c r="G40" i="16" s="1"/>
  <c r="L38" i="16"/>
  <c r="G38" i="16" s="1"/>
  <c r="L37" i="16"/>
  <c r="G37" i="16" s="1"/>
  <c r="L36" i="16"/>
  <c r="G36" i="16" s="1"/>
  <c r="L35" i="16"/>
  <c r="G35" i="16" s="1"/>
  <c r="L34" i="16"/>
  <c r="G34" i="16" s="1"/>
  <c r="L32" i="16"/>
  <c r="G32" i="16" s="1"/>
  <c r="L31" i="16"/>
  <c r="G31" i="16" s="1"/>
  <c r="L30" i="16"/>
  <c r="G30" i="16" s="1"/>
  <c r="L29" i="16"/>
  <c r="G29" i="16" s="1"/>
  <c r="L28" i="16"/>
  <c r="G28" i="16" s="1"/>
  <c r="L26" i="16"/>
  <c r="G26" i="16" s="1"/>
  <c r="L25" i="16"/>
  <c r="G25" i="16" s="1"/>
  <c r="L24" i="16"/>
  <c r="G24" i="16" s="1"/>
  <c r="L22" i="16"/>
  <c r="G22" i="16" s="1"/>
  <c r="L21" i="16"/>
  <c r="G21" i="16" s="1"/>
  <c r="L20" i="16"/>
  <c r="G20" i="16" s="1"/>
  <c r="L18" i="16"/>
  <c r="G18" i="16" s="1"/>
  <c r="L17" i="16"/>
  <c r="G17" i="16" s="1"/>
  <c r="L16" i="16"/>
  <c r="G16" i="16" s="1"/>
  <c r="L15" i="16"/>
  <c r="G15" i="16" s="1"/>
  <c r="L14" i="16"/>
  <c r="G14" i="16" s="1"/>
  <c r="L12" i="16"/>
  <c r="G12" i="16" s="1"/>
  <c r="L11" i="16"/>
  <c r="G11" i="16" s="1"/>
  <c r="L8" i="16"/>
  <c r="G8" i="16" s="1"/>
  <c r="L5" i="16"/>
  <c r="G5" i="16" s="1"/>
  <c r="L4" i="16"/>
  <c r="G4" i="16" s="1"/>
  <c r="L3" i="16"/>
  <c r="G3" i="16" s="1"/>
  <c r="N45" i="16"/>
  <c r="N43" i="16"/>
  <c r="L43" i="16" s="1"/>
  <c r="G43" i="16" s="1"/>
  <c r="N41" i="16"/>
  <c r="L41" i="16" s="1"/>
  <c r="G41" i="16" s="1"/>
  <c r="I44" i="18"/>
  <c r="I43" i="18"/>
  <c r="I42" i="18"/>
  <c r="I41" i="18"/>
  <c r="I40" i="18"/>
  <c r="I39" i="18"/>
  <c r="I37" i="18"/>
  <c r="I36" i="18"/>
  <c r="I35" i="18"/>
  <c r="I34" i="18"/>
  <c r="I33" i="18"/>
  <c r="I32" i="18"/>
  <c r="I30" i="18"/>
  <c r="I29" i="18"/>
  <c r="I28" i="18"/>
  <c r="I27" i="18"/>
  <c r="I26" i="18"/>
  <c r="I25" i="18"/>
  <c r="I23" i="18"/>
  <c r="I22" i="18"/>
  <c r="I21" i="18"/>
  <c r="I20" i="18"/>
  <c r="I19" i="18"/>
  <c r="I18" i="18"/>
  <c r="I16" i="18"/>
  <c r="I15" i="18"/>
  <c r="I14" i="18"/>
  <c r="I13" i="18"/>
  <c r="I12" i="18"/>
  <c r="I11" i="18"/>
  <c r="M44" i="18"/>
  <c r="M43" i="18"/>
  <c r="M42" i="18"/>
  <c r="M41" i="18"/>
  <c r="M40" i="18"/>
  <c r="M39" i="18"/>
  <c r="M37" i="18"/>
  <c r="M36" i="18"/>
  <c r="M35" i="18"/>
  <c r="M34" i="18"/>
  <c r="M33" i="18"/>
  <c r="M32" i="18"/>
  <c r="M30" i="18"/>
  <c r="M29" i="18"/>
  <c r="M28" i="18"/>
  <c r="M27" i="18"/>
  <c r="M26" i="18"/>
  <c r="M25" i="18"/>
  <c r="M23" i="18"/>
  <c r="M22" i="18"/>
  <c r="M21" i="18"/>
  <c r="M20" i="18"/>
  <c r="M19" i="18"/>
  <c r="M18" i="18"/>
  <c r="M16" i="18"/>
  <c r="M15" i="18"/>
  <c r="M14" i="18"/>
  <c r="M13" i="18"/>
  <c r="M12" i="18"/>
  <c r="M11" i="18"/>
  <c r="O44" i="18"/>
  <c r="O42" i="18"/>
  <c r="O40" i="18"/>
  <c r="O37" i="18"/>
  <c r="O35" i="18"/>
  <c r="O33" i="18"/>
  <c r="O30" i="18"/>
  <c r="O28" i="18"/>
  <c r="O26" i="18"/>
  <c r="O23" i="18"/>
  <c r="O21" i="18"/>
  <c r="O19" i="18"/>
  <c r="O16" i="18"/>
  <c r="O14" i="18"/>
  <c r="O12" i="18"/>
  <c r="N8" i="18"/>
  <c r="N9" i="18"/>
  <c r="G61" i="18"/>
  <c r="H61" i="18" s="1"/>
  <c r="J61" i="18" s="1"/>
  <c r="H60" i="18"/>
  <c r="J60" i="18" s="1"/>
  <c r="G60" i="18"/>
  <c r="G59" i="18"/>
  <c r="H59" i="18" s="1"/>
  <c r="J59" i="18" s="1"/>
  <c r="G57" i="18"/>
  <c r="H57" i="18" s="1"/>
  <c r="J57" i="18" s="1"/>
  <c r="G56" i="18"/>
  <c r="H56" i="18" s="1"/>
  <c r="J56" i="18" s="1"/>
  <c r="H55" i="18"/>
  <c r="J55" i="18" s="1"/>
  <c r="G55" i="18"/>
  <c r="I52" i="18"/>
  <c r="I51" i="18"/>
  <c r="I50" i="18"/>
  <c r="I47" i="18"/>
  <c r="J47" i="18" s="1"/>
  <c r="N44" i="18"/>
  <c r="F44" i="18"/>
  <c r="G44" i="18" s="1"/>
  <c r="C44" i="18"/>
  <c r="N43" i="18"/>
  <c r="G43" i="18"/>
  <c r="F43" i="18"/>
  <c r="C43" i="18"/>
  <c r="F42" i="18"/>
  <c r="G42" i="18" s="1"/>
  <c r="C42" i="18"/>
  <c r="F41" i="18"/>
  <c r="G41" i="18" s="1"/>
  <c r="C41" i="18"/>
  <c r="R40" i="18"/>
  <c r="R41" i="18" s="1"/>
  <c r="R42" i="18" s="1"/>
  <c r="R43" i="18" s="1"/>
  <c r="R44" i="18" s="1"/>
  <c r="F40" i="18"/>
  <c r="G40" i="18" s="1"/>
  <c r="E40" i="18"/>
  <c r="C40" i="18"/>
  <c r="F39" i="18"/>
  <c r="G39" i="18" s="1"/>
  <c r="C39" i="18"/>
  <c r="N37" i="18"/>
  <c r="F37" i="18"/>
  <c r="G37" i="18" s="1"/>
  <c r="C37" i="18"/>
  <c r="N36" i="18"/>
  <c r="F36" i="18"/>
  <c r="G36" i="18" s="1"/>
  <c r="C36" i="18"/>
  <c r="F35" i="18"/>
  <c r="G35" i="18" s="1"/>
  <c r="C35" i="18"/>
  <c r="F34" i="18"/>
  <c r="G34" i="18" s="1"/>
  <c r="C34" i="18"/>
  <c r="R33" i="18"/>
  <c r="R34" i="18" s="1"/>
  <c r="R35" i="18" s="1"/>
  <c r="R36" i="18" s="1"/>
  <c r="R37" i="18" s="1"/>
  <c r="G33" i="18"/>
  <c r="F33" i="18"/>
  <c r="E33" i="18"/>
  <c r="C33" i="18"/>
  <c r="F32" i="18"/>
  <c r="G32" i="18" s="1"/>
  <c r="C32" i="18"/>
  <c r="N30" i="18"/>
  <c r="F30" i="18"/>
  <c r="G30" i="18" s="1"/>
  <c r="C30" i="18"/>
  <c r="N29" i="18"/>
  <c r="G29" i="18"/>
  <c r="F29" i="18"/>
  <c r="C29" i="18"/>
  <c r="F28" i="18"/>
  <c r="G28" i="18" s="1"/>
  <c r="C28" i="18"/>
  <c r="F27" i="18"/>
  <c r="G27" i="18" s="1"/>
  <c r="C27" i="18"/>
  <c r="R26" i="18"/>
  <c r="R27" i="18" s="1"/>
  <c r="R28" i="18" s="1"/>
  <c r="R29" i="18" s="1"/>
  <c r="R30" i="18" s="1"/>
  <c r="F26" i="18"/>
  <c r="G26" i="18" s="1"/>
  <c r="E26" i="18"/>
  <c r="C26" i="18"/>
  <c r="F25" i="18"/>
  <c r="G25" i="18" s="1"/>
  <c r="C25" i="18"/>
  <c r="N23" i="18"/>
  <c r="F23" i="18"/>
  <c r="G23" i="18" s="1"/>
  <c r="C23" i="18"/>
  <c r="N22" i="18"/>
  <c r="C22" i="18" s="1"/>
  <c r="H22" i="18" s="1"/>
  <c r="K22" i="18" s="1"/>
  <c r="G22" i="18"/>
  <c r="F22" i="18"/>
  <c r="E22" i="18"/>
  <c r="F21" i="18"/>
  <c r="G21" i="18" s="1"/>
  <c r="C21" i="18"/>
  <c r="F20" i="18"/>
  <c r="G20" i="18" s="1"/>
  <c r="C20" i="18"/>
  <c r="R19" i="18"/>
  <c r="R20" i="18" s="1"/>
  <c r="R21" i="18" s="1"/>
  <c r="R22" i="18" s="1"/>
  <c r="R23" i="18" s="1"/>
  <c r="G19" i="18"/>
  <c r="F19" i="18"/>
  <c r="E19" i="18"/>
  <c r="C19" i="18"/>
  <c r="F18" i="18"/>
  <c r="G18" i="18" s="1"/>
  <c r="C18" i="18"/>
  <c r="N16" i="18"/>
  <c r="F16" i="18"/>
  <c r="G16" i="18" s="1"/>
  <c r="C16" i="18"/>
  <c r="N15" i="18"/>
  <c r="F15" i="18"/>
  <c r="G15" i="18" s="1"/>
  <c r="E15" i="18"/>
  <c r="C15" i="18"/>
  <c r="H15" i="18" s="1"/>
  <c r="K15" i="18" s="1"/>
  <c r="F14" i="18"/>
  <c r="G14" i="18" s="1"/>
  <c r="C14" i="18"/>
  <c r="F13" i="18"/>
  <c r="G13" i="18" s="1"/>
  <c r="E13" i="18"/>
  <c r="C13" i="18"/>
  <c r="H13" i="18" s="1"/>
  <c r="R12" i="18"/>
  <c r="R13" i="18" s="1"/>
  <c r="R14" i="18" s="1"/>
  <c r="R15" i="18" s="1"/>
  <c r="R16" i="18" s="1"/>
  <c r="F12" i="18"/>
  <c r="G12" i="18" s="1"/>
  <c r="E12" i="18"/>
  <c r="C12" i="18"/>
  <c r="H12" i="18" s="1"/>
  <c r="G11" i="18"/>
  <c r="F11" i="18"/>
  <c r="E11" i="18"/>
  <c r="C11" i="18"/>
  <c r="G9" i="18"/>
  <c r="F9" i="18"/>
  <c r="E9" i="18"/>
  <c r="F8" i="18"/>
  <c r="G8" i="18" s="1"/>
  <c r="E8" i="18"/>
  <c r="F7" i="18"/>
  <c r="G7" i="18" s="1"/>
  <c r="E7" i="18"/>
  <c r="H7" i="18"/>
  <c r="G6" i="18"/>
  <c r="F6" i="18"/>
  <c r="E6" i="18"/>
  <c r="R5" i="18"/>
  <c r="R6" i="18" s="1"/>
  <c r="R7" i="18" s="1"/>
  <c r="R8" i="18" s="1"/>
  <c r="R9" i="18" s="1"/>
  <c r="F5" i="18"/>
  <c r="G5" i="18" s="1"/>
  <c r="E5" i="18"/>
  <c r="F4" i="18"/>
  <c r="G4" i="18" s="1"/>
  <c r="E4" i="18"/>
  <c r="D104" i="24" l="1"/>
  <c r="G105" i="24"/>
  <c r="K13" i="18"/>
  <c r="Q13" i="18" s="1"/>
  <c r="K12" i="18"/>
  <c r="L12" i="18" s="1"/>
  <c r="H9" i="18"/>
  <c r="H5" i="18"/>
  <c r="H6" i="18"/>
  <c r="H8" i="18"/>
  <c r="Q15" i="18"/>
  <c r="S15" i="18" s="1"/>
  <c r="L15" i="18"/>
  <c r="H21" i="18"/>
  <c r="K21" i="18" s="1"/>
  <c r="Q22" i="18"/>
  <c r="S22" i="18" s="1"/>
  <c r="L22" i="18"/>
  <c r="S13" i="18"/>
  <c r="L13" i="18"/>
  <c r="H4" i="18"/>
  <c r="H11" i="18"/>
  <c r="K11" i="18" s="1"/>
  <c r="H19" i="18"/>
  <c r="K19" i="18" s="1"/>
  <c r="H26" i="18"/>
  <c r="K26" i="18" s="1"/>
  <c r="H44" i="18"/>
  <c r="K44" i="18" s="1"/>
  <c r="E44" i="18"/>
  <c r="E42" i="18"/>
  <c r="H42" i="18" s="1"/>
  <c r="K42" i="18" s="1"/>
  <c r="E41" i="18"/>
  <c r="H41" i="18" s="1"/>
  <c r="K41" i="18" s="1"/>
  <c r="E39" i="18"/>
  <c r="H39" i="18" s="1"/>
  <c r="K39" i="18" s="1"/>
  <c r="E37" i="18"/>
  <c r="H37" i="18" s="1"/>
  <c r="K37" i="18" s="1"/>
  <c r="E35" i="18"/>
  <c r="H35" i="18" s="1"/>
  <c r="K35" i="18" s="1"/>
  <c r="E34" i="18"/>
  <c r="H34" i="18" s="1"/>
  <c r="K34" i="18" s="1"/>
  <c r="E32" i="18"/>
  <c r="H32" i="18" s="1"/>
  <c r="K32" i="18" s="1"/>
  <c r="E30" i="18"/>
  <c r="H30" i="18" s="1"/>
  <c r="K30" i="18" s="1"/>
  <c r="E28" i="18"/>
  <c r="H28" i="18" s="1"/>
  <c r="K28" i="18" s="1"/>
  <c r="E27" i="18"/>
  <c r="H27" i="18" s="1"/>
  <c r="K27" i="18" s="1"/>
  <c r="E43" i="18"/>
  <c r="H43" i="18" s="1"/>
  <c r="K43" i="18" s="1"/>
  <c r="E36" i="18"/>
  <c r="H36" i="18" s="1"/>
  <c r="K36" i="18" s="1"/>
  <c r="E29" i="18"/>
  <c r="H29" i="18" s="1"/>
  <c r="K29" i="18" s="1"/>
  <c r="E25" i="18"/>
  <c r="H25" i="18" s="1"/>
  <c r="K25" i="18" s="1"/>
  <c r="E23" i="18"/>
  <c r="H23" i="18" s="1"/>
  <c r="K23" i="18" s="1"/>
  <c r="E21" i="18"/>
  <c r="E20" i="18"/>
  <c r="H20" i="18" s="1"/>
  <c r="K20" i="18" s="1"/>
  <c r="E18" i="18"/>
  <c r="H18" i="18" s="1"/>
  <c r="K18" i="18" s="1"/>
  <c r="E16" i="18"/>
  <c r="H16" i="18" s="1"/>
  <c r="K16" i="18" s="1"/>
  <c r="E14" i="18"/>
  <c r="H14" i="18" s="1"/>
  <c r="K14" i="18" s="1"/>
  <c r="H33" i="18"/>
  <c r="K33" i="18" s="1"/>
  <c r="H40" i="18"/>
  <c r="K40" i="18" s="1"/>
  <c r="K24" i="17"/>
  <c r="G24" i="17" s="1"/>
  <c r="D24" i="17"/>
  <c r="K9" i="17"/>
  <c r="H9" i="17"/>
  <c r="G9" i="17"/>
  <c r="D9" i="17"/>
  <c r="C106" i="24" l="1"/>
  <c r="D105" i="24"/>
  <c r="F105" i="24"/>
  <c r="Q12" i="18"/>
  <c r="S12" i="18" s="1"/>
  <c r="Q20" i="18"/>
  <c r="S20" i="18" s="1"/>
  <c r="L20" i="18"/>
  <c r="L14" i="18"/>
  <c r="Q14" i="18"/>
  <c r="S14" i="18" s="1"/>
  <c r="Q18" i="18"/>
  <c r="S18" i="18" s="1"/>
  <c r="L18" i="18"/>
  <c r="Q36" i="18"/>
  <c r="S36" i="18" s="1"/>
  <c r="L36" i="18"/>
  <c r="Q27" i="18"/>
  <c r="S27" i="18" s="1"/>
  <c r="L27" i="18"/>
  <c r="Q34" i="18"/>
  <c r="S34" i="18" s="1"/>
  <c r="L34" i="18"/>
  <c r="Q37" i="18"/>
  <c r="S37" i="18" s="1"/>
  <c r="L37" i="18"/>
  <c r="Q41" i="18"/>
  <c r="S41" i="18" s="1"/>
  <c r="L41" i="18"/>
  <c r="Q16" i="18"/>
  <c r="S16" i="18" s="1"/>
  <c r="L16" i="18"/>
  <c r="Q23" i="18"/>
  <c r="S23" i="18" s="1"/>
  <c r="L23" i="18"/>
  <c r="Q29" i="18"/>
  <c r="S29" i="18" s="1"/>
  <c r="L29" i="18"/>
  <c r="Q43" i="18"/>
  <c r="S43" i="18" s="1"/>
  <c r="L43" i="18"/>
  <c r="L28" i="18"/>
  <c r="Q28" i="18"/>
  <c r="S28" i="18" s="1"/>
  <c r="Q32" i="18"/>
  <c r="S32" i="18" s="1"/>
  <c r="L32" i="18"/>
  <c r="L35" i="18"/>
  <c r="Q35" i="18"/>
  <c r="S35" i="18" s="1"/>
  <c r="Q39" i="18"/>
  <c r="S39" i="18" s="1"/>
  <c r="L39" i="18"/>
  <c r="L42" i="18"/>
  <c r="Q42" i="18"/>
  <c r="S42" i="18" s="1"/>
  <c r="Q33" i="18"/>
  <c r="S33" i="18" s="1"/>
  <c r="L33" i="18"/>
  <c r="Q44" i="18"/>
  <c r="S44" i="18" s="1"/>
  <c r="L44" i="18"/>
  <c r="Q19" i="18"/>
  <c r="S19" i="18" s="1"/>
  <c r="L19" i="18"/>
  <c r="L21" i="18"/>
  <c r="Q21" i="18"/>
  <c r="S21" i="18" s="1"/>
  <c r="Q25" i="18"/>
  <c r="S25" i="18" s="1"/>
  <c r="L25" i="18"/>
  <c r="Q30" i="18"/>
  <c r="S30" i="18" s="1"/>
  <c r="L30" i="18"/>
  <c r="Q40" i="18"/>
  <c r="S40" i="18" s="1"/>
  <c r="L40" i="18"/>
  <c r="Q26" i="18"/>
  <c r="S26" i="18" s="1"/>
  <c r="L26" i="18"/>
  <c r="L11" i="18"/>
  <c r="Q11" i="18"/>
  <c r="S11" i="18" s="1"/>
  <c r="D31" i="17"/>
  <c r="D30" i="17"/>
  <c r="D29" i="17"/>
  <c r="D28" i="17"/>
  <c r="D27" i="17"/>
  <c r="D26" i="17"/>
  <c r="D23" i="17"/>
  <c r="D22" i="17"/>
  <c r="D21" i="17"/>
  <c r="D20" i="17"/>
  <c r="D19" i="17"/>
  <c r="D18" i="17"/>
  <c r="D16" i="17"/>
  <c r="D15" i="17"/>
  <c r="D14" i="17"/>
  <c r="D13" i="17"/>
  <c r="D12" i="17"/>
  <c r="D11" i="17"/>
  <c r="D8" i="17"/>
  <c r="D7" i="17"/>
  <c r="D6" i="17"/>
  <c r="D5" i="17"/>
  <c r="D4" i="17"/>
  <c r="D3" i="17"/>
  <c r="P31" i="17"/>
  <c r="K31" i="17"/>
  <c r="G31" i="17" s="1"/>
  <c r="K30" i="17"/>
  <c r="G30" i="17" s="1"/>
  <c r="K29" i="17"/>
  <c r="G29" i="17" s="1"/>
  <c r="P28" i="17"/>
  <c r="K28" i="17"/>
  <c r="G28" i="17" s="1"/>
  <c r="K27" i="17"/>
  <c r="G27" i="17" s="1"/>
  <c r="K26" i="17"/>
  <c r="G26" i="17" s="1"/>
  <c r="P23" i="17"/>
  <c r="P24" i="17" s="1"/>
  <c r="K23" i="17"/>
  <c r="G23" i="17" s="1"/>
  <c r="K22" i="17"/>
  <c r="G22" i="17" s="1"/>
  <c r="K21" i="17"/>
  <c r="G21" i="17" s="1"/>
  <c r="P20" i="17"/>
  <c r="K20" i="17"/>
  <c r="G20" i="17" s="1"/>
  <c r="K19" i="17"/>
  <c r="G19" i="17" s="1"/>
  <c r="K18" i="17"/>
  <c r="G18" i="17" s="1"/>
  <c r="P16" i="17"/>
  <c r="K16" i="17"/>
  <c r="H16" i="17"/>
  <c r="G16" i="17"/>
  <c r="K15" i="17"/>
  <c r="H15" i="17"/>
  <c r="G15" i="17"/>
  <c r="K14" i="17"/>
  <c r="H14" i="17"/>
  <c r="G14" i="17"/>
  <c r="P13" i="17"/>
  <c r="K13" i="17"/>
  <c r="H13" i="17"/>
  <c r="G13" i="17"/>
  <c r="K12" i="17"/>
  <c r="H12" i="17"/>
  <c r="G12" i="17"/>
  <c r="K11" i="17"/>
  <c r="H11" i="17"/>
  <c r="G11" i="17"/>
  <c r="K4" i="17"/>
  <c r="H4" i="17"/>
  <c r="G4" i="17"/>
  <c r="K8" i="17"/>
  <c r="G8" i="17" s="1"/>
  <c r="K7" i="17"/>
  <c r="G7" i="17" s="1"/>
  <c r="K5" i="17"/>
  <c r="G5" i="17" s="1"/>
  <c r="K3" i="17"/>
  <c r="G3" i="17" s="1"/>
  <c r="K6" i="17"/>
  <c r="G6" i="17" s="1"/>
  <c r="H6" i="17"/>
  <c r="I58" i="17"/>
  <c r="K58" i="17"/>
  <c r="J58" i="17"/>
  <c r="P8" i="17"/>
  <c r="P9" i="17" s="1"/>
  <c r="H8" i="17"/>
  <c r="H7" i="17"/>
  <c r="E49" i="17"/>
  <c r="F49" i="17" s="1"/>
  <c r="H49" i="17" s="1"/>
  <c r="E48" i="17"/>
  <c r="F48" i="17" s="1"/>
  <c r="H48" i="17" s="1"/>
  <c r="E47" i="17"/>
  <c r="F47" i="17" s="1"/>
  <c r="H47" i="17" s="1"/>
  <c r="E45" i="17"/>
  <c r="F45" i="17" s="1"/>
  <c r="H45" i="17" s="1"/>
  <c r="E44" i="17"/>
  <c r="F44" i="17" s="1"/>
  <c r="H44" i="17" s="1"/>
  <c r="E43" i="17"/>
  <c r="F43" i="17" s="1"/>
  <c r="H43" i="17" s="1"/>
  <c r="G40" i="17"/>
  <c r="G39" i="17"/>
  <c r="G38" i="17"/>
  <c r="G35" i="17"/>
  <c r="H35" i="17" s="1"/>
  <c r="P5" i="17"/>
  <c r="H5" i="17"/>
  <c r="H3" i="17"/>
  <c r="C107" i="24" l="1"/>
  <c r="D106" i="24"/>
  <c r="C6" i="17"/>
  <c r="C24" i="17"/>
  <c r="F24" i="17" s="1"/>
  <c r="I24" i="17" s="1"/>
  <c r="C9" i="17"/>
  <c r="F9" i="17" s="1"/>
  <c r="I9" i="17" s="1"/>
  <c r="C8" i="17"/>
  <c r="C4" i="17"/>
  <c r="F4" i="17" s="1"/>
  <c r="I4" i="17" s="1"/>
  <c r="O4" i="17" s="1"/>
  <c r="Q4" i="17" s="1"/>
  <c r="C11" i="17"/>
  <c r="F11" i="17" s="1"/>
  <c r="I11" i="17" s="1"/>
  <c r="C12" i="17"/>
  <c r="F12" i="17" s="1"/>
  <c r="C13" i="17"/>
  <c r="C18" i="17"/>
  <c r="C20" i="17"/>
  <c r="C21" i="17"/>
  <c r="F21" i="17" s="1"/>
  <c r="I21" i="17" s="1"/>
  <c r="J21" i="17" s="1"/>
  <c r="C23" i="17"/>
  <c r="F23" i="17" s="1"/>
  <c r="I23" i="17" s="1"/>
  <c r="J23" i="17" s="1"/>
  <c r="C26" i="17"/>
  <c r="C27" i="17"/>
  <c r="F27" i="17" s="1"/>
  <c r="I27" i="17" s="1"/>
  <c r="C30" i="17"/>
  <c r="C5" i="17"/>
  <c r="C14" i="17"/>
  <c r="F14" i="17" s="1"/>
  <c r="I14" i="17" s="1"/>
  <c r="C15" i="17"/>
  <c r="F15" i="17" s="1"/>
  <c r="I15" i="17" s="1"/>
  <c r="O15" i="17" s="1"/>
  <c r="Q15" i="17" s="1"/>
  <c r="C16" i="17"/>
  <c r="F16" i="17" s="1"/>
  <c r="I16" i="17" s="1"/>
  <c r="C19" i="17"/>
  <c r="F19" i="17" s="1"/>
  <c r="I19" i="17" s="1"/>
  <c r="C22" i="17"/>
  <c r="C28" i="17"/>
  <c r="C29" i="17"/>
  <c r="F29" i="17" s="1"/>
  <c r="I29" i="17" s="1"/>
  <c r="J29" i="17" s="1"/>
  <c r="C31" i="17"/>
  <c r="F31" i="17" s="1"/>
  <c r="I31" i="17" s="1"/>
  <c r="O31" i="17" s="1"/>
  <c r="Q31" i="17" s="1"/>
  <c r="F18" i="17"/>
  <c r="I18" i="17" s="1"/>
  <c r="J18" i="17" s="1"/>
  <c r="F20" i="17"/>
  <c r="I20" i="17" s="1"/>
  <c r="J20" i="17" s="1"/>
  <c r="F26" i="17"/>
  <c r="I26" i="17" s="1"/>
  <c r="J26" i="17" s="1"/>
  <c r="F28" i="17"/>
  <c r="I28" i="17" s="1"/>
  <c r="O28" i="17" s="1"/>
  <c r="Q28" i="17" s="1"/>
  <c r="O21" i="17"/>
  <c r="Q21" i="17" s="1"/>
  <c r="O20" i="17"/>
  <c r="Q20" i="17" s="1"/>
  <c r="O23" i="17"/>
  <c r="Q23" i="17" s="1"/>
  <c r="J28" i="17"/>
  <c r="J31" i="17"/>
  <c r="F22" i="17"/>
  <c r="I22" i="17" s="1"/>
  <c r="F30" i="17"/>
  <c r="I30" i="17" s="1"/>
  <c r="I12" i="17"/>
  <c r="J12" i="17" s="1"/>
  <c r="F13" i="17"/>
  <c r="I13" i="17" s="1"/>
  <c r="C3" i="17"/>
  <c r="C7" i="17"/>
  <c r="F6" i="17"/>
  <c r="I6" i="17"/>
  <c r="J6" i="17" s="1"/>
  <c r="J6" i="8"/>
  <c r="H6" i="8"/>
  <c r="C108" i="24" l="1"/>
  <c r="D107" i="24"/>
  <c r="O9" i="17"/>
  <c r="Q9" i="17" s="1"/>
  <c r="J9" i="17"/>
  <c r="O24" i="17"/>
  <c r="Q24" i="17" s="1"/>
  <c r="J24" i="17"/>
  <c r="O29" i="17"/>
  <c r="Q29" i="17" s="1"/>
  <c r="O26" i="17"/>
  <c r="Q26" i="17" s="1"/>
  <c r="O18" i="17"/>
  <c r="Q18" i="17" s="1"/>
  <c r="O12" i="17"/>
  <c r="Q12" i="17" s="1"/>
  <c r="O30" i="17"/>
  <c r="Q30" i="17" s="1"/>
  <c r="J30" i="17"/>
  <c r="O22" i="17"/>
  <c r="Q22" i="17" s="1"/>
  <c r="J22" i="17"/>
  <c r="O27" i="17"/>
  <c r="Q27" i="17" s="1"/>
  <c r="J27" i="17"/>
  <c r="O19" i="17"/>
  <c r="Q19" i="17" s="1"/>
  <c r="J19" i="17"/>
  <c r="J15" i="17"/>
  <c r="O11" i="17"/>
  <c r="Q11" i="17" s="1"/>
  <c r="J11" i="17"/>
  <c r="O16" i="17"/>
  <c r="Q16" i="17" s="1"/>
  <c r="J16" i="17"/>
  <c r="O13" i="17"/>
  <c r="Q13" i="17" s="1"/>
  <c r="J13" i="17"/>
  <c r="O14" i="17"/>
  <c r="Q14" i="17" s="1"/>
  <c r="J14" i="17"/>
  <c r="J4" i="17"/>
  <c r="O6" i="17"/>
  <c r="Q6" i="17" s="1"/>
  <c r="F5" i="17"/>
  <c r="I5" i="17" s="1"/>
  <c r="J5" i="17" s="1"/>
  <c r="F3" i="17"/>
  <c r="I3" i="17" s="1"/>
  <c r="J3" i="17" s="1"/>
  <c r="I10" i="13"/>
  <c r="I11" i="13"/>
  <c r="I12" i="13"/>
  <c r="I55" i="13"/>
  <c r="I15" i="13"/>
  <c r="I14" i="13"/>
  <c r="I54" i="13"/>
  <c r="G55" i="13"/>
  <c r="F55" i="13"/>
  <c r="G15" i="13"/>
  <c r="F15" i="13"/>
  <c r="L15" i="13" l="1"/>
  <c r="M15" i="13"/>
  <c r="K15" i="13"/>
  <c r="L55" i="13"/>
  <c r="M55" i="13"/>
  <c r="K55" i="13"/>
  <c r="C109" i="24"/>
  <c r="D108" i="24"/>
  <c r="O5" i="17"/>
  <c r="Q5" i="17" s="1"/>
  <c r="F8" i="17"/>
  <c r="F7" i="17"/>
  <c r="I7" i="17" s="1"/>
  <c r="O3" i="17"/>
  <c r="Q3" i="17" s="1"/>
  <c r="J55" i="13"/>
  <c r="H55" i="13"/>
  <c r="J15" i="13"/>
  <c r="H15" i="13"/>
  <c r="D109" i="24" l="1"/>
  <c r="G109" i="24"/>
  <c r="F109" i="24"/>
  <c r="O7" i="17"/>
  <c r="Q7" i="17" s="1"/>
  <c r="J7" i="17"/>
  <c r="G49" i="16"/>
  <c r="C111" i="24" l="1"/>
  <c r="D110" i="24"/>
  <c r="Q41" i="16"/>
  <c r="Q42" i="16" s="1"/>
  <c r="Q43" i="16" s="1"/>
  <c r="Q44" i="16" s="1"/>
  <c r="Q45" i="16" s="1"/>
  <c r="G54" i="16"/>
  <c r="G53" i="16"/>
  <c r="G52" i="16"/>
  <c r="M45" i="16"/>
  <c r="L45" i="16" s="1"/>
  <c r="G45" i="16" s="1"/>
  <c r="M44" i="16"/>
  <c r="L44" i="16" s="1"/>
  <c r="G44" i="16" s="1"/>
  <c r="D45" i="16"/>
  <c r="E45" i="16" s="1"/>
  <c r="D44" i="16"/>
  <c r="E44" i="16" s="1"/>
  <c r="D41" i="16"/>
  <c r="E41" i="16" s="1"/>
  <c r="D40" i="16"/>
  <c r="E40" i="16" s="1"/>
  <c r="D43" i="16"/>
  <c r="E43" i="16" s="1"/>
  <c r="D42" i="16"/>
  <c r="E42" i="16" s="1"/>
  <c r="E30" i="16"/>
  <c r="C112" i="24" l="1"/>
  <c r="D111" i="24"/>
  <c r="F72" i="15"/>
  <c r="F63" i="15"/>
  <c r="E36" i="16"/>
  <c r="D32" i="16"/>
  <c r="E32" i="16" s="1"/>
  <c r="D38" i="16"/>
  <c r="E38" i="16" s="1"/>
  <c r="D37" i="16"/>
  <c r="E37" i="16" s="1"/>
  <c r="Q35" i="16"/>
  <c r="Q36" i="16" s="1"/>
  <c r="Q37" i="16" s="1"/>
  <c r="Q38" i="16" s="1"/>
  <c r="E35" i="16"/>
  <c r="D31" i="16"/>
  <c r="E31" i="16" s="1"/>
  <c r="Q29" i="16"/>
  <c r="Q31" i="16" s="1"/>
  <c r="E29" i="16"/>
  <c r="E28" i="16"/>
  <c r="H26" i="16"/>
  <c r="H25" i="16"/>
  <c r="H24" i="16"/>
  <c r="H22" i="16"/>
  <c r="H21" i="16"/>
  <c r="H20" i="16"/>
  <c r="H18" i="16"/>
  <c r="H17" i="16"/>
  <c r="H16" i="16"/>
  <c r="H15" i="16"/>
  <c r="H14" i="16"/>
  <c r="H12" i="16"/>
  <c r="H11" i="16"/>
  <c r="H5" i="16"/>
  <c r="H4" i="16"/>
  <c r="D26" i="16"/>
  <c r="E26" i="16" s="1"/>
  <c r="Q25" i="16"/>
  <c r="Q26" i="16" s="1"/>
  <c r="E25" i="16"/>
  <c r="E24" i="16"/>
  <c r="D22" i="16"/>
  <c r="E22" i="16" s="1"/>
  <c r="Q21" i="16"/>
  <c r="Q22" i="16" s="1"/>
  <c r="E21" i="16"/>
  <c r="E20" i="16"/>
  <c r="E18" i="16"/>
  <c r="E17" i="16"/>
  <c r="E16" i="16"/>
  <c r="E15" i="16"/>
  <c r="E14" i="16"/>
  <c r="E12" i="16"/>
  <c r="E11" i="16"/>
  <c r="E5" i="16"/>
  <c r="E4" i="16"/>
  <c r="E3" i="16"/>
  <c r="Q15" i="16"/>
  <c r="Q16" i="16" s="1"/>
  <c r="Q17" i="16" s="1"/>
  <c r="Q18" i="16" s="1"/>
  <c r="Q4" i="16"/>
  <c r="H49" i="16"/>
  <c r="E136" i="15"/>
  <c r="G136" i="15" s="1"/>
  <c r="F135" i="15"/>
  <c r="E135" i="15"/>
  <c r="G135" i="15"/>
  <c r="C9" i="16" l="1"/>
  <c r="F9" i="16" s="1"/>
  <c r="J9" i="16" s="1"/>
  <c r="C6" i="16"/>
  <c r="F6" i="16" s="1"/>
  <c r="J6" i="16" s="1"/>
  <c r="Y9" i="16"/>
  <c r="W9" i="16"/>
  <c r="P9" i="16"/>
  <c r="K9" i="16"/>
  <c r="X9" i="16"/>
  <c r="T9" i="16"/>
  <c r="U9" i="16" s="1"/>
  <c r="V9" i="16" s="1"/>
  <c r="C7" i="16"/>
  <c r="F7" i="16" s="1"/>
  <c r="J7" i="16" s="1"/>
  <c r="T7" i="16" s="1"/>
  <c r="U7" i="16" s="1"/>
  <c r="V7" i="16" s="1"/>
  <c r="C10" i="16"/>
  <c r="F10" i="16" s="1"/>
  <c r="J10" i="16" s="1"/>
  <c r="Q5" i="16"/>
  <c r="Q9" i="16" s="1"/>
  <c r="Q7" i="16"/>
  <c r="Q10" i="16" s="1"/>
  <c r="X7" i="16"/>
  <c r="W7" i="16"/>
  <c r="K7" i="16"/>
  <c r="D112" i="24"/>
  <c r="C113" i="24"/>
  <c r="C45" i="16"/>
  <c r="C43" i="16"/>
  <c r="C41" i="16"/>
  <c r="C38" i="16"/>
  <c r="C36" i="16"/>
  <c r="C34" i="16"/>
  <c r="C31" i="16"/>
  <c r="C29" i="16"/>
  <c r="C26" i="16"/>
  <c r="C24" i="16"/>
  <c r="C21" i="16"/>
  <c r="C18" i="16"/>
  <c r="C16" i="16"/>
  <c r="C14" i="16"/>
  <c r="C11" i="16"/>
  <c r="C5" i="16"/>
  <c r="C3" i="16"/>
  <c r="C44" i="16"/>
  <c r="C42" i="16"/>
  <c r="C37" i="16"/>
  <c r="C32" i="16"/>
  <c r="C28" i="16"/>
  <c r="C22" i="16"/>
  <c r="C17" i="16"/>
  <c r="C12" i="16"/>
  <c r="C4" i="16"/>
  <c r="C40" i="16"/>
  <c r="C35" i="16"/>
  <c r="C30" i="16"/>
  <c r="C25" i="16"/>
  <c r="F25" i="16" s="1"/>
  <c r="C20" i="16"/>
  <c r="F20" i="16" s="1"/>
  <c r="J20" i="16" s="1"/>
  <c r="T20" i="16" s="1"/>
  <c r="U20" i="16" s="1"/>
  <c r="V20" i="16" s="1"/>
  <c r="C15" i="16"/>
  <c r="C8" i="16"/>
  <c r="Q11" i="16"/>
  <c r="Q12" i="16" s="1"/>
  <c r="Q32" i="16"/>
  <c r="Q30" i="16"/>
  <c r="B123" i="15"/>
  <c r="D123" i="15" s="1"/>
  <c r="F123" i="15" s="1"/>
  <c r="G123" i="15" s="1"/>
  <c r="B122" i="15"/>
  <c r="D122" i="15" s="1"/>
  <c r="F122" i="15" s="1"/>
  <c r="G122" i="15" s="1"/>
  <c r="B121" i="15"/>
  <c r="D121" i="15" s="1"/>
  <c r="F121" i="15" s="1"/>
  <c r="G121" i="15" s="1"/>
  <c r="B120" i="15"/>
  <c r="D120" i="15" s="1"/>
  <c r="F120" i="15" s="1"/>
  <c r="G120" i="15" s="1"/>
  <c r="B119" i="15"/>
  <c r="D119" i="15" s="1"/>
  <c r="F119" i="15" s="1"/>
  <c r="G119" i="15" s="1"/>
  <c r="B118" i="15"/>
  <c r="D118" i="15" s="1"/>
  <c r="F118" i="15" s="1"/>
  <c r="G118" i="15" s="1"/>
  <c r="Y6" i="16" l="1"/>
  <c r="W6" i="16"/>
  <c r="P6" i="16"/>
  <c r="R6" i="16" s="1"/>
  <c r="K6" i="16"/>
  <c r="X6" i="16"/>
  <c r="T6" i="16"/>
  <c r="U6" i="16" s="1"/>
  <c r="V6" i="16" s="1"/>
  <c r="Q8" i="16"/>
  <c r="P7" i="16"/>
  <c r="R7" i="16" s="1"/>
  <c r="Y7" i="16"/>
  <c r="R9" i="16"/>
  <c r="Y10" i="16"/>
  <c r="W10" i="16"/>
  <c r="P10" i="16"/>
  <c r="R10" i="16" s="1"/>
  <c r="K10" i="16"/>
  <c r="X10" i="16"/>
  <c r="T10" i="16"/>
  <c r="U10" i="16" s="1"/>
  <c r="V10" i="16" s="1"/>
  <c r="Y20" i="16"/>
  <c r="X20" i="16"/>
  <c r="W20" i="16"/>
  <c r="D113" i="24"/>
  <c r="G113" i="24"/>
  <c r="F113" i="24"/>
  <c r="P20" i="16"/>
  <c r="R20" i="16" s="1"/>
  <c r="K20" i="16"/>
  <c r="F32" i="16"/>
  <c r="J32" i="16" s="1"/>
  <c r="F35" i="16"/>
  <c r="J35" i="16" s="1"/>
  <c r="AD6" i="16" s="1"/>
  <c r="F36" i="16"/>
  <c r="J36" i="16" s="1"/>
  <c r="T36" i="16" s="1"/>
  <c r="U36" i="16" s="1"/>
  <c r="V36" i="16" s="1"/>
  <c r="F34" i="16"/>
  <c r="J34" i="16" s="1"/>
  <c r="T34" i="16" s="1"/>
  <c r="U34" i="16" s="1"/>
  <c r="V34" i="16" s="1"/>
  <c r="F29" i="16"/>
  <c r="J29" i="16" s="1"/>
  <c r="T29" i="16" s="1"/>
  <c r="U29" i="16" s="1"/>
  <c r="V29" i="16" s="1"/>
  <c r="F30" i="16"/>
  <c r="J30" i="16" s="1"/>
  <c r="T30" i="16" s="1"/>
  <c r="U30" i="16" s="1"/>
  <c r="V30" i="16" s="1"/>
  <c r="F37" i="16"/>
  <c r="J37" i="16" s="1"/>
  <c r="T37" i="16" s="1"/>
  <c r="U37" i="16" s="1"/>
  <c r="V37" i="16" s="1"/>
  <c r="F31" i="16"/>
  <c r="J31" i="16" s="1"/>
  <c r="F28" i="16"/>
  <c r="J28" i="16" s="1"/>
  <c r="T28" i="16" s="1"/>
  <c r="U28" i="16" s="1"/>
  <c r="V28" i="16" s="1"/>
  <c r="F26" i="16"/>
  <c r="J26" i="16" s="1"/>
  <c r="T26" i="16" s="1"/>
  <c r="U26" i="16" s="1"/>
  <c r="V26" i="16" s="1"/>
  <c r="J25" i="16"/>
  <c r="T25" i="16" s="1"/>
  <c r="U25" i="16" s="1"/>
  <c r="V25" i="16" s="1"/>
  <c r="F24" i="16"/>
  <c r="F21" i="16"/>
  <c r="F3" i="16"/>
  <c r="F14" i="16"/>
  <c r="F69" i="15"/>
  <c r="B69" i="15"/>
  <c r="F68" i="15"/>
  <c r="B68" i="15"/>
  <c r="F67" i="15"/>
  <c r="B67" i="15"/>
  <c r="F65" i="15"/>
  <c r="B65" i="15"/>
  <c r="F64" i="15"/>
  <c r="B64" i="15"/>
  <c r="B63" i="15"/>
  <c r="G63" i="15" s="1"/>
  <c r="H63" i="15" s="1"/>
  <c r="I63" i="15" s="1"/>
  <c r="F78" i="15"/>
  <c r="B78" i="15"/>
  <c r="F77" i="15"/>
  <c r="B77" i="15"/>
  <c r="F76" i="15"/>
  <c r="B76" i="15"/>
  <c r="F74" i="15"/>
  <c r="B74" i="15"/>
  <c r="F73" i="15"/>
  <c r="B73" i="15"/>
  <c r="B72" i="15"/>
  <c r="G72" i="15" s="1"/>
  <c r="H72" i="15" s="1"/>
  <c r="I72" i="15" s="1"/>
  <c r="AD10" i="16" l="1"/>
  <c r="AD9" i="16"/>
  <c r="T32" i="16"/>
  <c r="U32" i="16" s="1"/>
  <c r="V32" i="16" s="1"/>
  <c r="X32" i="16"/>
  <c r="Y32" i="16"/>
  <c r="X31" i="16"/>
  <c r="Y31" i="16"/>
  <c r="T35" i="16"/>
  <c r="U35" i="16" s="1"/>
  <c r="V35" i="16" s="1"/>
  <c r="AD7" i="16"/>
  <c r="W31" i="16"/>
  <c r="T31" i="16"/>
  <c r="U31" i="16" s="1"/>
  <c r="V31" i="16" s="1"/>
  <c r="Y25" i="16"/>
  <c r="X25" i="16"/>
  <c r="W28" i="16"/>
  <c r="Y28" i="16"/>
  <c r="X28" i="16"/>
  <c r="W37" i="16"/>
  <c r="Y37" i="16"/>
  <c r="X37" i="16"/>
  <c r="W29" i="16"/>
  <c r="Y29" i="16"/>
  <c r="X29" i="16"/>
  <c r="Y36" i="16"/>
  <c r="X36" i="16"/>
  <c r="Y26" i="16"/>
  <c r="X26" i="16"/>
  <c r="W30" i="16"/>
  <c r="Y30" i="16"/>
  <c r="X30" i="16"/>
  <c r="W34" i="16"/>
  <c r="Y34" i="16"/>
  <c r="X34" i="16"/>
  <c r="Y35" i="16"/>
  <c r="X35" i="16"/>
  <c r="W25" i="16"/>
  <c r="W36" i="16"/>
  <c r="W32" i="16"/>
  <c r="W26" i="16"/>
  <c r="W35" i="16"/>
  <c r="AD28" i="16"/>
  <c r="AD37" i="16"/>
  <c r="AD29" i="16"/>
  <c r="AD31" i="16"/>
  <c r="AD30" i="16"/>
  <c r="AD34" i="16"/>
  <c r="AD26" i="16"/>
  <c r="AD35" i="16"/>
  <c r="AD25" i="16"/>
  <c r="AD36" i="16"/>
  <c r="AD32" i="16"/>
  <c r="AD20" i="16"/>
  <c r="D114" i="24"/>
  <c r="C115" i="24"/>
  <c r="P25" i="16"/>
  <c r="R25" i="16" s="1"/>
  <c r="K25" i="16"/>
  <c r="AE6" i="16" s="1"/>
  <c r="P28" i="16"/>
  <c r="R28" i="16" s="1"/>
  <c r="K28" i="16"/>
  <c r="AE28" i="16" s="1"/>
  <c r="P30" i="16"/>
  <c r="R30" i="16" s="1"/>
  <c r="K30" i="16"/>
  <c r="AE30" i="16" s="1"/>
  <c r="P34" i="16"/>
  <c r="R34" i="16" s="1"/>
  <c r="K34" i="16"/>
  <c r="AE34" i="16" s="1"/>
  <c r="P35" i="16"/>
  <c r="R35" i="16" s="1"/>
  <c r="K35" i="16"/>
  <c r="P26" i="16"/>
  <c r="R26" i="16" s="1"/>
  <c r="K26" i="16"/>
  <c r="AE26" i="16" s="1"/>
  <c r="P31" i="16"/>
  <c r="R31" i="16" s="1"/>
  <c r="K31" i="16"/>
  <c r="AE31" i="16" s="1"/>
  <c r="P37" i="16"/>
  <c r="R37" i="16" s="1"/>
  <c r="K37" i="16"/>
  <c r="AE37" i="16" s="1"/>
  <c r="P29" i="16"/>
  <c r="R29" i="16" s="1"/>
  <c r="K29" i="16"/>
  <c r="AE29" i="16" s="1"/>
  <c r="P36" i="16"/>
  <c r="R36" i="16" s="1"/>
  <c r="K36" i="16"/>
  <c r="AE36" i="16" s="1"/>
  <c r="P32" i="16"/>
  <c r="R32" i="16" s="1"/>
  <c r="K32" i="16"/>
  <c r="AE32" i="16" s="1"/>
  <c r="F38" i="16"/>
  <c r="J38" i="16" s="1"/>
  <c r="T38" i="16" s="1"/>
  <c r="U38" i="16" s="1"/>
  <c r="V38" i="16" s="1"/>
  <c r="F22" i="16"/>
  <c r="J22" i="16" s="1"/>
  <c r="T22" i="16" s="1"/>
  <c r="U22" i="16" s="1"/>
  <c r="V22" i="16" s="1"/>
  <c r="J21" i="16"/>
  <c r="T21" i="16" s="1"/>
  <c r="U21" i="16" s="1"/>
  <c r="V21" i="16" s="1"/>
  <c r="J3" i="16"/>
  <c r="J24" i="16"/>
  <c r="T24" i="16" s="1"/>
  <c r="U24" i="16" s="1"/>
  <c r="V24" i="16" s="1"/>
  <c r="F15" i="16"/>
  <c r="F4" i="16"/>
  <c r="F8" i="16"/>
  <c r="J8" i="16" s="1"/>
  <c r="T8" i="16" s="1"/>
  <c r="U8" i="16" s="1"/>
  <c r="V8" i="16" s="1"/>
  <c r="G67" i="15"/>
  <c r="H67" i="15" s="1"/>
  <c r="I67" i="15" s="1"/>
  <c r="G68" i="15"/>
  <c r="H68" i="15" s="1"/>
  <c r="I68" i="15" s="1"/>
  <c r="G69" i="15"/>
  <c r="H69" i="15" s="1"/>
  <c r="I69" i="15" s="1"/>
  <c r="G65" i="15"/>
  <c r="H65" i="15" s="1"/>
  <c r="I65" i="15" s="1"/>
  <c r="K65" i="15" s="1"/>
  <c r="G64" i="15"/>
  <c r="H64" i="15" s="1"/>
  <c r="I64" i="15" s="1"/>
  <c r="J65" i="15"/>
  <c r="G76" i="15"/>
  <c r="H76" i="15" s="1"/>
  <c r="I76" i="15" s="1"/>
  <c r="G77" i="15"/>
  <c r="H77" i="15" s="1"/>
  <c r="I77" i="15" s="1"/>
  <c r="G78" i="15"/>
  <c r="H78" i="15" s="1"/>
  <c r="I78" i="15" s="1"/>
  <c r="G73" i="15"/>
  <c r="H73" i="15" s="1"/>
  <c r="I73" i="15" s="1"/>
  <c r="G74" i="15"/>
  <c r="H74" i="15" s="1"/>
  <c r="I74" i="15" s="1"/>
  <c r="E130" i="15"/>
  <c r="F130" i="15" s="1"/>
  <c r="G130" i="15" s="1"/>
  <c r="E129" i="15"/>
  <c r="F129" i="15" s="1"/>
  <c r="G129" i="15" s="1"/>
  <c r="E128" i="15"/>
  <c r="F128" i="15" s="1"/>
  <c r="G128" i="15" s="1"/>
  <c r="AE7" i="16" l="1"/>
  <c r="AE9" i="16"/>
  <c r="AE10" i="16"/>
  <c r="Y3" i="16"/>
  <c r="W24" i="16"/>
  <c r="Y24" i="16"/>
  <c r="X24" i="16"/>
  <c r="W21" i="16"/>
  <c r="Y21" i="16"/>
  <c r="X21" i="16"/>
  <c r="Y38" i="16"/>
  <c r="X38" i="16"/>
  <c r="Y8" i="16"/>
  <c r="X8" i="16"/>
  <c r="W22" i="16"/>
  <c r="Y22" i="16"/>
  <c r="X22" i="16"/>
  <c r="W3" i="16"/>
  <c r="X3" i="16"/>
  <c r="W8" i="16"/>
  <c r="W38" i="16"/>
  <c r="AD22" i="16"/>
  <c r="AD24" i="16"/>
  <c r="AD3" i="16"/>
  <c r="T3" i="16"/>
  <c r="U3" i="16" s="1"/>
  <c r="V3" i="16" s="1"/>
  <c r="AD8" i="16"/>
  <c r="AD21" i="16"/>
  <c r="AE35" i="16"/>
  <c r="AE25" i="16"/>
  <c r="AE20" i="16"/>
  <c r="C116" i="24"/>
  <c r="D115" i="24"/>
  <c r="P8" i="16"/>
  <c r="R8" i="16" s="1"/>
  <c r="K8" i="16"/>
  <c r="AE8" i="16" s="1"/>
  <c r="P24" i="16"/>
  <c r="R24" i="16" s="1"/>
  <c r="K24" i="16"/>
  <c r="AE24" i="16" s="1"/>
  <c r="P3" i="16"/>
  <c r="R3" i="16" s="1"/>
  <c r="K3" i="16"/>
  <c r="AE3" i="16" s="1"/>
  <c r="P38" i="16"/>
  <c r="R38" i="16" s="1"/>
  <c r="K38" i="16"/>
  <c r="AE38" i="16" s="1"/>
  <c r="P22" i="16"/>
  <c r="R22" i="16" s="1"/>
  <c r="K22" i="16"/>
  <c r="AE22" i="16" s="1"/>
  <c r="P21" i="16"/>
  <c r="R21" i="16" s="1"/>
  <c r="K21" i="16"/>
  <c r="AE21" i="16" s="1"/>
  <c r="F41" i="16"/>
  <c r="J41" i="16" s="1"/>
  <c r="F43" i="16"/>
  <c r="J43" i="16" s="1"/>
  <c r="F42" i="16"/>
  <c r="J42" i="16" s="1"/>
  <c r="F40" i="16"/>
  <c r="J40" i="16" s="1"/>
  <c r="J4" i="16"/>
  <c r="T4" i="16" s="1"/>
  <c r="U4" i="16" s="1"/>
  <c r="V4" i="16" s="1"/>
  <c r="F5" i="16"/>
  <c r="F16" i="16"/>
  <c r="J74" i="15"/>
  <c r="K74" i="15"/>
  <c r="B83" i="15"/>
  <c r="E114" i="15"/>
  <c r="E113" i="15"/>
  <c r="B114" i="15"/>
  <c r="B113" i="15"/>
  <c r="E112" i="15"/>
  <c r="G112" i="15" s="1"/>
  <c r="E111" i="15"/>
  <c r="G111" i="15" s="1"/>
  <c r="H111" i="15" s="1"/>
  <c r="X40" i="16" l="1"/>
  <c r="T40" i="16"/>
  <c r="U40" i="16" s="1"/>
  <c r="X42" i="16"/>
  <c r="T42" i="16"/>
  <c r="U42" i="16" s="1"/>
  <c r="X41" i="16"/>
  <c r="T41" i="16"/>
  <c r="U41" i="16" s="1"/>
  <c r="X43" i="16"/>
  <c r="T43" i="16"/>
  <c r="U43" i="16" s="1"/>
  <c r="Y4" i="16"/>
  <c r="X4" i="16"/>
  <c r="W4" i="16"/>
  <c r="W42" i="16"/>
  <c r="W41" i="16"/>
  <c r="W40" i="16"/>
  <c r="W43" i="16"/>
  <c r="AD4" i="16"/>
  <c r="AD38" i="16"/>
  <c r="D116" i="24"/>
  <c r="C117" i="24"/>
  <c r="P4" i="16"/>
  <c r="R4" i="16" s="1"/>
  <c r="K4" i="16"/>
  <c r="AE4" i="16" s="1"/>
  <c r="P40" i="16"/>
  <c r="R40" i="16" s="1"/>
  <c r="K40" i="16"/>
  <c r="P43" i="16"/>
  <c r="R43" i="16" s="1"/>
  <c r="K43" i="16"/>
  <c r="P42" i="16"/>
  <c r="R42" i="16" s="1"/>
  <c r="K42" i="16"/>
  <c r="P41" i="16"/>
  <c r="R41" i="16" s="1"/>
  <c r="K41" i="16"/>
  <c r="F45" i="16"/>
  <c r="J45" i="16" s="1"/>
  <c r="J5" i="16"/>
  <c r="T5" i="16" s="1"/>
  <c r="U5" i="16" s="1"/>
  <c r="V5" i="16" s="1"/>
  <c r="F18" i="16"/>
  <c r="F17" i="16"/>
  <c r="F12" i="16"/>
  <c r="F11" i="16"/>
  <c r="G113" i="15"/>
  <c r="H113" i="15" s="1"/>
  <c r="I113" i="15" s="1"/>
  <c r="G114" i="15"/>
  <c r="H114" i="15" s="1"/>
  <c r="H112" i="15"/>
  <c r="E107" i="15"/>
  <c r="G107" i="15" s="1"/>
  <c r="H107" i="15" s="1"/>
  <c r="E106" i="15"/>
  <c r="G106" i="15" s="1"/>
  <c r="H106" i="15" s="1"/>
  <c r="E105" i="15"/>
  <c r="G105" i="15" s="1"/>
  <c r="H105" i="15" s="1"/>
  <c r="E104" i="15"/>
  <c r="G104" i="15" s="1"/>
  <c r="H104" i="15" s="1"/>
  <c r="F97" i="15"/>
  <c r="B97" i="15"/>
  <c r="G97" i="15" s="1"/>
  <c r="H97" i="15" s="1"/>
  <c r="I97" i="15" s="1"/>
  <c r="F96" i="15"/>
  <c r="B96" i="15"/>
  <c r="G96" i="15" s="1"/>
  <c r="H96" i="15" s="1"/>
  <c r="I96" i="15" s="1"/>
  <c r="F95" i="15"/>
  <c r="B95" i="15"/>
  <c r="G95" i="15" s="1"/>
  <c r="H95" i="15" s="1"/>
  <c r="I95" i="15" s="1"/>
  <c r="F93" i="15"/>
  <c r="B93" i="15"/>
  <c r="F92" i="15"/>
  <c r="B92" i="15"/>
  <c r="B91" i="15"/>
  <c r="G91" i="15" s="1"/>
  <c r="X45" i="16" l="1"/>
  <c r="T45" i="16"/>
  <c r="U45" i="16" s="1"/>
  <c r="Y5" i="16"/>
  <c r="X5" i="16"/>
  <c r="W5" i="16"/>
  <c r="W45" i="16"/>
  <c r="AD5" i="16"/>
  <c r="J46" i="16"/>
  <c r="J47" i="16"/>
  <c r="K46" i="16"/>
  <c r="AE41" i="16"/>
  <c r="AD41" i="16"/>
  <c r="AE42" i="16"/>
  <c r="AD42" i="16"/>
  <c r="AE43" i="16"/>
  <c r="AD43" i="16"/>
  <c r="AE40" i="16"/>
  <c r="AD40" i="16"/>
  <c r="D117" i="24"/>
  <c r="P5" i="16"/>
  <c r="R5" i="16" s="1"/>
  <c r="K5" i="16"/>
  <c r="AE5" i="16" s="1"/>
  <c r="P45" i="16"/>
  <c r="R45" i="16" s="1"/>
  <c r="K45" i="16"/>
  <c r="F44" i="16"/>
  <c r="J44" i="16" s="1"/>
  <c r="J11" i="16"/>
  <c r="T11" i="16" s="1"/>
  <c r="U11" i="16" s="1"/>
  <c r="V11" i="16" s="1"/>
  <c r="J12" i="16"/>
  <c r="T12" i="16" s="1"/>
  <c r="U12" i="16" s="1"/>
  <c r="V12" i="16" s="1"/>
  <c r="G93" i="15"/>
  <c r="H93" i="15" s="1"/>
  <c r="I93" i="15" s="1"/>
  <c r="H91" i="15"/>
  <c r="I91" i="15" s="1"/>
  <c r="G92" i="15"/>
  <c r="H92" i="15" s="1"/>
  <c r="I92" i="15" s="1"/>
  <c r="B87" i="15"/>
  <c r="B86" i="15"/>
  <c r="B85" i="15"/>
  <c r="B82" i="15"/>
  <c r="B81" i="15"/>
  <c r="X44" i="16" l="1"/>
  <c r="T44" i="16"/>
  <c r="U44" i="16" s="1"/>
  <c r="Y12" i="16"/>
  <c r="X12" i="16"/>
  <c r="Y11" i="16"/>
  <c r="X11" i="16"/>
  <c r="W12" i="16"/>
  <c r="W11" i="16"/>
  <c r="W44" i="16"/>
  <c r="AD11" i="16"/>
  <c r="AD12" i="16"/>
  <c r="AE45" i="16"/>
  <c r="AD45" i="16"/>
  <c r="D118" i="24"/>
  <c r="C119" i="24"/>
  <c r="G118" i="24"/>
  <c r="F118" i="24"/>
  <c r="P12" i="16"/>
  <c r="R12" i="16" s="1"/>
  <c r="K12" i="16"/>
  <c r="AE12" i="16" s="1"/>
  <c r="P11" i="16"/>
  <c r="R11" i="16" s="1"/>
  <c r="K11" i="16"/>
  <c r="AE11" i="16" s="1"/>
  <c r="P44" i="16"/>
  <c r="R44" i="16" s="1"/>
  <c r="K44" i="16"/>
  <c r="E103" i="15"/>
  <c r="G103" i="15" s="1"/>
  <c r="H103" i="15" s="1"/>
  <c r="E102" i="15"/>
  <c r="G102" i="15" s="1"/>
  <c r="H102" i="15" s="1"/>
  <c r="F87" i="15"/>
  <c r="G87" i="15" s="1"/>
  <c r="H87" i="15" s="1"/>
  <c r="F86" i="15"/>
  <c r="F85" i="15"/>
  <c r="F83" i="15"/>
  <c r="F82" i="15"/>
  <c r="G81" i="15"/>
  <c r="H81" i="15" s="1"/>
  <c r="I81" i="15" s="1"/>
  <c r="AE44" i="16" l="1"/>
  <c r="AD44" i="16"/>
  <c r="C120" i="24"/>
  <c r="D119" i="24"/>
  <c r="G85" i="15"/>
  <c r="H85" i="15" s="1"/>
  <c r="I85" i="15" s="1"/>
  <c r="G82" i="15"/>
  <c r="H82" i="15" s="1"/>
  <c r="I82" i="15" s="1"/>
  <c r="G83" i="15"/>
  <c r="H83" i="15" s="1"/>
  <c r="I83" i="15" s="1"/>
  <c r="G86" i="15"/>
  <c r="H86" i="15" s="1"/>
  <c r="I86" i="15" s="1"/>
  <c r="I87" i="15"/>
  <c r="D44" i="15"/>
  <c r="B44" i="15"/>
  <c r="D48" i="15"/>
  <c r="B48" i="15"/>
  <c r="D52" i="15"/>
  <c r="B52" i="15"/>
  <c r="D57" i="15"/>
  <c r="C56" i="15"/>
  <c r="B56" i="15"/>
  <c r="E58" i="15"/>
  <c r="D58" i="15"/>
  <c r="B57" i="15"/>
  <c r="B58" i="15" s="1"/>
  <c r="E54" i="15"/>
  <c r="C54" i="15"/>
  <c r="D54" i="15" s="1"/>
  <c r="D53" i="15"/>
  <c r="B53" i="15"/>
  <c r="B54" i="15" s="1"/>
  <c r="E50" i="15"/>
  <c r="D50" i="15"/>
  <c r="D49" i="15"/>
  <c r="B49" i="15"/>
  <c r="E46" i="15"/>
  <c r="C46" i="15"/>
  <c r="D46" i="15" s="1"/>
  <c r="D45" i="15"/>
  <c r="B45" i="15"/>
  <c r="C9" i="15"/>
  <c r="C10" i="15" s="1"/>
  <c r="E33" i="15"/>
  <c r="E34" i="15" s="1"/>
  <c r="E35" i="15" s="1"/>
  <c r="E36" i="15" s="1"/>
  <c r="E37" i="15" s="1"/>
  <c r="E38" i="15" s="1"/>
  <c r="E39" i="15" s="1"/>
  <c r="B32" i="15"/>
  <c r="B33" i="15" s="1"/>
  <c r="B34" i="15" s="1"/>
  <c r="B35" i="15" s="1"/>
  <c r="B36" i="15" s="1"/>
  <c r="B37" i="15" s="1"/>
  <c r="B38" i="15" s="1"/>
  <c r="B39" i="15" s="1"/>
  <c r="D7" i="15"/>
  <c r="E8" i="15"/>
  <c r="E9" i="15" s="1"/>
  <c r="E10" i="15" s="1"/>
  <c r="E11" i="15" s="1"/>
  <c r="E12" i="15" s="1"/>
  <c r="E13" i="15" s="1"/>
  <c r="E14" i="15" s="1"/>
  <c r="B7" i="15"/>
  <c r="B8" i="15" s="1"/>
  <c r="B9" i="15" s="1"/>
  <c r="B10" i="15" s="1"/>
  <c r="B11" i="15" s="1"/>
  <c r="B12" i="15" s="1"/>
  <c r="B13" i="15" s="1"/>
  <c r="B14" i="15" s="1"/>
  <c r="C121" i="24" l="1"/>
  <c r="D120" i="24"/>
  <c r="K83" i="15"/>
  <c r="J83" i="15"/>
  <c r="F44" i="15"/>
  <c r="G44" i="15" s="1"/>
  <c r="F48" i="15"/>
  <c r="G48" i="15" s="1"/>
  <c r="F52" i="15"/>
  <c r="G52" i="15" s="1"/>
  <c r="F56" i="15"/>
  <c r="G56" i="15" s="1"/>
  <c r="F54" i="15"/>
  <c r="G54" i="15" s="1"/>
  <c r="F58" i="15"/>
  <c r="G58" i="15" s="1"/>
  <c r="F53" i="15"/>
  <c r="G53" i="15" s="1"/>
  <c r="F57" i="15"/>
  <c r="G57" i="15" s="1"/>
  <c r="F49" i="15"/>
  <c r="G49" i="15" s="1"/>
  <c r="B50" i="15"/>
  <c r="F45" i="15"/>
  <c r="G45" i="15" s="1"/>
  <c r="B46" i="15"/>
  <c r="D8" i="15"/>
  <c r="F8" i="15" s="1"/>
  <c r="G8" i="15" s="1"/>
  <c r="F33" i="15"/>
  <c r="F35" i="15"/>
  <c r="F37" i="15"/>
  <c r="F39" i="15"/>
  <c r="G39" i="15" s="1"/>
  <c r="G33" i="15"/>
  <c r="G35" i="15"/>
  <c r="G37" i="15"/>
  <c r="F32" i="15"/>
  <c r="G32" i="15" s="1"/>
  <c r="F34" i="15"/>
  <c r="G34" i="15" s="1"/>
  <c r="F36" i="15"/>
  <c r="G36" i="15" s="1"/>
  <c r="H36" i="15" s="1"/>
  <c r="F38" i="15"/>
  <c r="G38" i="15" s="1"/>
  <c r="C11" i="15"/>
  <c r="D10" i="15"/>
  <c r="F10" i="15" s="1"/>
  <c r="G10" i="15" s="1"/>
  <c r="D9" i="15"/>
  <c r="F9" i="15" s="1"/>
  <c r="G9" i="15" s="1"/>
  <c r="F7" i="15"/>
  <c r="G7" i="15" s="1"/>
  <c r="B22" i="14"/>
  <c r="B24" i="14" s="1"/>
  <c r="B16" i="14"/>
  <c r="B15" i="14"/>
  <c r="B20" i="14"/>
  <c r="B18" i="14"/>
  <c r="B11" i="14"/>
  <c r="B5" i="14"/>
  <c r="H19" i="15" l="1"/>
  <c r="H17" i="15"/>
  <c r="H5" i="15"/>
  <c r="H18" i="15"/>
  <c r="H16" i="15"/>
  <c r="H23" i="15"/>
  <c r="H21" i="15"/>
  <c r="H22" i="15"/>
  <c r="H24" i="15"/>
  <c r="H8" i="15"/>
  <c r="H38" i="15"/>
  <c r="H34" i="15"/>
  <c r="H37" i="15"/>
  <c r="H33" i="15"/>
  <c r="H32" i="15"/>
  <c r="H30" i="15"/>
  <c r="H31" i="15"/>
  <c r="H35" i="15"/>
  <c r="H39" i="15"/>
  <c r="H7" i="15"/>
  <c r="H9" i="15"/>
  <c r="H6" i="15"/>
  <c r="H10" i="15"/>
  <c r="F122" i="24"/>
  <c r="D121" i="24"/>
  <c r="F50" i="15"/>
  <c r="G50" i="15" s="1"/>
  <c r="F46" i="15"/>
  <c r="G46" i="15" s="1"/>
  <c r="C12" i="15"/>
  <c r="D11" i="15"/>
  <c r="F11" i="15" s="1"/>
  <c r="G11" i="15" s="1"/>
  <c r="H11" i="15" s="1"/>
  <c r="G14" i="13"/>
  <c r="F54" i="13"/>
  <c r="F14" i="13"/>
  <c r="F53" i="13"/>
  <c r="F13" i="13"/>
  <c r="F12" i="13"/>
  <c r="F11" i="13"/>
  <c r="F10" i="13"/>
  <c r="F9" i="13"/>
  <c r="G54" i="13"/>
  <c r="H14" i="13" l="1"/>
  <c r="L14" i="13"/>
  <c r="M14" i="13"/>
  <c r="K14" i="13"/>
  <c r="L54" i="13"/>
  <c r="M54" i="13"/>
  <c r="K54" i="13"/>
  <c r="C123" i="24"/>
  <c r="H123" i="24"/>
  <c r="D122" i="24"/>
  <c r="G122" i="24"/>
  <c r="H54" i="13"/>
  <c r="C13" i="15"/>
  <c r="D12" i="15"/>
  <c r="F12" i="15" s="1"/>
  <c r="G12" i="15" s="1"/>
  <c r="H12" i="15" s="1"/>
  <c r="J14" i="13"/>
  <c r="J54" i="13"/>
  <c r="C100" i="13"/>
  <c r="C99" i="13"/>
  <c r="C124" i="24" l="1"/>
  <c r="D123" i="24"/>
  <c r="C14" i="15"/>
  <c r="D14" i="15" s="1"/>
  <c r="F14" i="15" s="1"/>
  <c r="G14" i="15" s="1"/>
  <c r="H14" i="15" s="1"/>
  <c r="D13" i="15"/>
  <c r="F13" i="15" s="1"/>
  <c r="G13" i="15" s="1"/>
  <c r="H13" i="15" s="1"/>
  <c r="C101" i="13"/>
  <c r="G13" i="13"/>
  <c r="G12" i="13"/>
  <c r="G11" i="13"/>
  <c r="G10" i="13"/>
  <c r="K10" i="13" l="1"/>
  <c r="L10" i="13"/>
  <c r="M10" i="13"/>
  <c r="L12" i="13"/>
  <c r="M12" i="13"/>
  <c r="K12" i="13"/>
  <c r="L11" i="13"/>
  <c r="M11" i="13"/>
  <c r="K11" i="13"/>
  <c r="L13" i="13"/>
  <c r="M13" i="13"/>
  <c r="K13" i="13"/>
  <c r="C125" i="24"/>
  <c r="D124" i="24"/>
  <c r="J11" i="13"/>
  <c r="H11" i="13"/>
  <c r="J13" i="13"/>
  <c r="H13" i="13"/>
  <c r="J10" i="13"/>
  <c r="H10" i="13"/>
  <c r="J12" i="13"/>
  <c r="H12" i="13"/>
  <c r="D5" i="13"/>
  <c r="D4" i="13"/>
  <c r="D3" i="13"/>
  <c r="E5" i="13"/>
  <c r="E4" i="13"/>
  <c r="E3" i="13"/>
  <c r="C126" i="24" l="1"/>
  <c r="D125" i="24"/>
  <c r="E29" i="12"/>
  <c r="D29" i="12"/>
  <c r="C29" i="12"/>
  <c r="C26" i="12"/>
  <c r="C30" i="12" s="1"/>
  <c r="C31" i="12" s="1"/>
  <c r="E25" i="12"/>
  <c r="E26" i="12" s="1"/>
  <c r="E30" i="12" s="1"/>
  <c r="E31" i="12" s="1"/>
  <c r="D25" i="12"/>
  <c r="D26" i="12" s="1"/>
  <c r="D30" i="12" s="1"/>
  <c r="D31" i="12" s="1"/>
  <c r="C25" i="12"/>
  <c r="B29" i="12"/>
  <c r="B25" i="12"/>
  <c r="B26" i="12" s="1"/>
  <c r="B30" i="12" s="1"/>
  <c r="B31" i="12" s="1"/>
  <c r="B18" i="12"/>
  <c r="B15" i="12"/>
  <c r="B19" i="12" s="1"/>
  <c r="B20" i="12" s="1"/>
  <c r="B9" i="12"/>
  <c r="B6" i="12"/>
  <c r="B10" i="12" s="1"/>
  <c r="B11" i="12" s="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11" i="11"/>
  <c r="K10" i="11"/>
  <c r="K9" i="11"/>
  <c r="K8" i="11"/>
  <c r="K7" i="11"/>
  <c r="H16" i="11"/>
  <c r="H14" i="11"/>
  <c r="H13" i="11"/>
  <c r="H12" i="11"/>
  <c r="H11" i="11"/>
  <c r="H10" i="11"/>
  <c r="H9" i="11"/>
  <c r="H8" i="11"/>
  <c r="H7" i="11"/>
  <c r="H6" i="11"/>
  <c r="K6" i="11" s="1"/>
  <c r="D126" i="24" l="1"/>
  <c r="F110" i="8"/>
  <c r="F111" i="8" s="1"/>
  <c r="F112" i="8" s="1"/>
  <c r="G110" i="8"/>
  <c r="G111" i="8" s="1"/>
  <c r="L110" i="8"/>
  <c r="L111" i="8" s="1"/>
  <c r="L112" i="8" s="1"/>
  <c r="L113" i="8" s="1"/>
  <c r="L114" i="8" s="1"/>
  <c r="L115" i="8" s="1"/>
  <c r="L116" i="8" s="1"/>
  <c r="L117" i="8" s="1"/>
  <c r="L118" i="8" s="1"/>
  <c r="L119" i="8" s="1"/>
  <c r="L120" i="8" s="1"/>
  <c r="L121" i="8" s="1"/>
  <c r="H109" i="8"/>
  <c r="J109" i="8" s="1"/>
  <c r="H110" i="8"/>
  <c r="J110" i="8" s="1"/>
  <c r="C128" i="24" l="1"/>
  <c r="D127" i="24"/>
  <c r="H111" i="8"/>
  <c r="J111" i="8" s="1"/>
  <c r="H112" i="8"/>
  <c r="J112" i="8" s="1"/>
  <c r="F113" i="8"/>
  <c r="I111" i="8"/>
  <c r="M111" i="8" s="1"/>
  <c r="I109" i="8"/>
  <c r="M109" i="8" s="1"/>
  <c r="I110" i="8"/>
  <c r="M110" i="8" s="1"/>
  <c r="G112" i="8"/>
  <c r="H120" i="8"/>
  <c r="H119" i="8"/>
  <c r="E104" i="8"/>
  <c r="E103" i="8"/>
  <c r="E102" i="8"/>
  <c r="E101" i="8"/>
  <c r="B92" i="8"/>
  <c r="B73" i="8"/>
  <c r="B76" i="8"/>
  <c r="B77" i="8" s="1"/>
  <c r="B88" i="8"/>
  <c r="C129" i="24" l="1"/>
  <c r="D128" i="24"/>
  <c r="N110" i="8"/>
  <c r="P110" i="8"/>
  <c r="O110" i="8"/>
  <c r="N111" i="8"/>
  <c r="O111" i="8"/>
  <c r="I112" i="8"/>
  <c r="M112" i="8" s="1"/>
  <c r="P109" i="8"/>
  <c r="N109" i="8"/>
  <c r="O109" i="8"/>
  <c r="P111" i="8"/>
  <c r="F114" i="8"/>
  <c r="H113" i="8"/>
  <c r="J113" i="8" s="1"/>
  <c r="G113" i="8"/>
  <c r="B93" i="8"/>
  <c r="E92" i="8"/>
  <c r="J120" i="8"/>
  <c r="J119" i="8"/>
  <c r="H121" i="8"/>
  <c r="B78" i="8"/>
  <c r="Q11" i="10"/>
  <c r="Q10" i="10"/>
  <c r="Q9" i="10"/>
  <c r="Q8" i="10"/>
  <c r="Q7" i="10"/>
  <c r="Q6" i="10"/>
  <c r="Q5" i="10"/>
  <c r="C130" i="24" l="1"/>
  <c r="D129" i="24"/>
  <c r="N112" i="8"/>
  <c r="P112" i="8"/>
  <c r="O112" i="8"/>
  <c r="I113" i="8"/>
  <c r="M113" i="8" s="1"/>
  <c r="H114" i="8"/>
  <c r="J114" i="8" s="1"/>
  <c r="F115" i="8"/>
  <c r="G114" i="8"/>
  <c r="I114" i="8" s="1"/>
  <c r="M114" i="8" s="1"/>
  <c r="B94" i="8"/>
  <c r="E93" i="8"/>
  <c r="J121" i="8"/>
  <c r="B79" i="8"/>
  <c r="C339" i="10"/>
  <c r="C338" i="10"/>
  <c r="F338" i="10" s="1"/>
  <c r="C337" i="10"/>
  <c r="F337" i="10" s="1"/>
  <c r="D274" i="10"/>
  <c r="G274" i="10" s="1"/>
  <c r="C274" i="10"/>
  <c r="F274" i="10" s="1"/>
  <c r="D273" i="10"/>
  <c r="G273" i="10" s="1"/>
  <c r="C273" i="10"/>
  <c r="D272" i="10"/>
  <c r="C272" i="10"/>
  <c r="F272" i="10" s="1"/>
  <c r="E270" i="10"/>
  <c r="H270" i="10" s="1"/>
  <c r="E269" i="10"/>
  <c r="H269" i="10" s="1"/>
  <c r="E268" i="10"/>
  <c r="H268" i="10" s="1"/>
  <c r="E267" i="10"/>
  <c r="H267" i="10" s="1"/>
  <c r="E266" i="10"/>
  <c r="H266" i="10" s="1"/>
  <c r="E265" i="10"/>
  <c r="H265" i="10" s="1"/>
  <c r="E264" i="10"/>
  <c r="H264" i="10" s="1"/>
  <c r="E263" i="10"/>
  <c r="H263" i="10" s="1"/>
  <c r="E262" i="10"/>
  <c r="H262" i="10" s="1"/>
  <c r="E261" i="10"/>
  <c r="H261" i="10" s="1"/>
  <c r="E260" i="10"/>
  <c r="H260" i="10" s="1"/>
  <c r="E259" i="10"/>
  <c r="H259" i="10" s="1"/>
  <c r="E258" i="10"/>
  <c r="H258" i="10" s="1"/>
  <c r="E257" i="10"/>
  <c r="H257" i="10" s="1"/>
  <c r="E256" i="10"/>
  <c r="H256" i="10" s="1"/>
  <c r="E255" i="10"/>
  <c r="H255" i="10" s="1"/>
  <c r="E254" i="10"/>
  <c r="H254" i="10" s="1"/>
  <c r="E253" i="10"/>
  <c r="H253" i="10" s="1"/>
  <c r="E252" i="10"/>
  <c r="H252" i="10" s="1"/>
  <c r="E251" i="10"/>
  <c r="H251" i="10" s="1"/>
  <c r="E250" i="10"/>
  <c r="H250" i="10" s="1"/>
  <c r="E249" i="10"/>
  <c r="H249" i="10" s="1"/>
  <c r="E248" i="10"/>
  <c r="H248" i="10" s="1"/>
  <c r="E247" i="10"/>
  <c r="H247" i="10" s="1"/>
  <c r="E246" i="10"/>
  <c r="H246" i="10" s="1"/>
  <c r="D244" i="10"/>
  <c r="G244" i="10" s="1"/>
  <c r="C244" i="10"/>
  <c r="F244" i="10" s="1"/>
  <c r="D243" i="10"/>
  <c r="G243" i="10" s="1"/>
  <c r="C243" i="10"/>
  <c r="D242" i="10"/>
  <c r="C242" i="10"/>
  <c r="F242" i="10" s="1"/>
  <c r="E240" i="10"/>
  <c r="H240" i="10" s="1"/>
  <c r="E239" i="10"/>
  <c r="H239" i="10" s="1"/>
  <c r="E238" i="10"/>
  <c r="H238" i="10" s="1"/>
  <c r="E237" i="10"/>
  <c r="H237" i="10" s="1"/>
  <c r="E236" i="10"/>
  <c r="H236" i="10" s="1"/>
  <c r="E235" i="10"/>
  <c r="H235" i="10" s="1"/>
  <c r="E234" i="10"/>
  <c r="H234" i="10" s="1"/>
  <c r="E233" i="10"/>
  <c r="H233" i="10" s="1"/>
  <c r="E232" i="10"/>
  <c r="H232" i="10" s="1"/>
  <c r="E231" i="10"/>
  <c r="H231" i="10" s="1"/>
  <c r="E230" i="10"/>
  <c r="H230" i="10" s="1"/>
  <c r="E229" i="10"/>
  <c r="H229" i="10" s="1"/>
  <c r="E228" i="10"/>
  <c r="H228" i="10" s="1"/>
  <c r="E227" i="10"/>
  <c r="H227" i="10" s="1"/>
  <c r="E226" i="10"/>
  <c r="H226" i="10" s="1"/>
  <c r="E225" i="10"/>
  <c r="H225" i="10" s="1"/>
  <c r="E224" i="10"/>
  <c r="H224" i="10" s="1"/>
  <c r="E223" i="10"/>
  <c r="H223" i="10" s="1"/>
  <c r="E222" i="10"/>
  <c r="H222" i="10" s="1"/>
  <c r="E221" i="10"/>
  <c r="D219" i="10"/>
  <c r="G219" i="10" s="1"/>
  <c r="C219" i="10"/>
  <c r="F219" i="10" s="1"/>
  <c r="D218" i="10"/>
  <c r="G218" i="10" s="1"/>
  <c r="C218" i="10"/>
  <c r="D217" i="10"/>
  <c r="C217" i="10"/>
  <c r="F217" i="10" s="1"/>
  <c r="E215" i="10"/>
  <c r="H215" i="10" s="1"/>
  <c r="E214" i="10"/>
  <c r="H214" i="10" s="1"/>
  <c r="E213" i="10"/>
  <c r="H213" i="10" s="1"/>
  <c r="E212" i="10"/>
  <c r="H212" i="10" s="1"/>
  <c r="E211" i="10"/>
  <c r="H211" i="10" s="1"/>
  <c r="E210" i="10"/>
  <c r="H210" i="10" s="1"/>
  <c r="E209" i="10"/>
  <c r="H209" i="10" s="1"/>
  <c r="E208" i="10"/>
  <c r="H208" i="10" s="1"/>
  <c r="E207" i="10"/>
  <c r="H207" i="10" s="1"/>
  <c r="E206" i="10"/>
  <c r="H206" i="10" s="1"/>
  <c r="E205" i="10"/>
  <c r="H205" i="10" s="1"/>
  <c r="E204" i="10"/>
  <c r="H204" i="10" s="1"/>
  <c r="E203" i="10"/>
  <c r="H203" i="10" s="1"/>
  <c r="E202" i="10"/>
  <c r="H202" i="10" s="1"/>
  <c r="E201" i="10"/>
  <c r="H201" i="10" s="1"/>
  <c r="E200" i="10"/>
  <c r="H200" i="10" s="1"/>
  <c r="E199" i="10"/>
  <c r="H199" i="10" s="1"/>
  <c r="E198" i="10"/>
  <c r="H198" i="10" s="1"/>
  <c r="E197" i="10"/>
  <c r="H197" i="10" s="1"/>
  <c r="E196" i="10"/>
  <c r="H196" i="10" s="1"/>
  <c r="E195" i="10"/>
  <c r="H195" i="10" s="1"/>
  <c r="E194" i="10"/>
  <c r="H194" i="10" s="1"/>
  <c r="E193" i="10"/>
  <c r="H193" i="10" s="1"/>
  <c r="E192" i="10"/>
  <c r="H192" i="10" s="1"/>
  <c r="E191" i="10"/>
  <c r="H191" i="10" s="1"/>
  <c r="E190" i="10"/>
  <c r="H190" i="10" s="1"/>
  <c r="E189" i="10"/>
  <c r="H189" i="10" s="1"/>
  <c r="E188" i="10"/>
  <c r="H188" i="10" s="1"/>
  <c r="E187" i="10"/>
  <c r="H187" i="10" s="1"/>
  <c r="E186" i="10"/>
  <c r="H186" i="10" s="1"/>
  <c r="E185" i="10"/>
  <c r="H185" i="10" s="1"/>
  <c r="E184" i="10"/>
  <c r="H184" i="10" s="1"/>
  <c r="E183" i="10"/>
  <c r="H183" i="10" s="1"/>
  <c r="E182" i="10"/>
  <c r="H182" i="10" s="1"/>
  <c r="E181" i="10"/>
  <c r="H181" i="10" s="1"/>
  <c r="E180" i="10"/>
  <c r="H180" i="10" s="1"/>
  <c r="E179" i="10"/>
  <c r="H179" i="10" s="1"/>
  <c r="E178" i="10"/>
  <c r="H178" i="10" s="1"/>
  <c r="E177" i="10"/>
  <c r="H177" i="10" s="1"/>
  <c r="E176" i="10"/>
  <c r="H176" i="10" s="1"/>
  <c r="E175" i="10"/>
  <c r="H175" i="10" s="1"/>
  <c r="E174" i="10"/>
  <c r="H174" i="10" s="1"/>
  <c r="E173" i="10"/>
  <c r="H173" i="10" s="1"/>
  <c r="E172" i="10"/>
  <c r="H172" i="10" s="1"/>
  <c r="E171" i="10"/>
  <c r="H171" i="10" s="1"/>
  <c r="E170" i="10"/>
  <c r="H170" i="10" s="1"/>
  <c r="E169" i="10"/>
  <c r="H169" i="10" s="1"/>
  <c r="E168" i="10"/>
  <c r="H168" i="10" s="1"/>
  <c r="E167" i="10"/>
  <c r="H167" i="10" s="1"/>
  <c r="E166" i="10"/>
  <c r="H166" i="10" s="1"/>
  <c r="E165" i="10"/>
  <c r="H165" i="10" s="1"/>
  <c r="E164" i="10"/>
  <c r="H164" i="10" s="1"/>
  <c r="E163" i="10"/>
  <c r="H163" i="10" s="1"/>
  <c r="E162" i="10"/>
  <c r="H162" i="10" s="1"/>
  <c r="E161" i="10"/>
  <c r="H161" i="10" s="1"/>
  <c r="E160" i="10"/>
  <c r="H160" i="10" s="1"/>
  <c r="E159" i="10"/>
  <c r="H159" i="10" s="1"/>
  <c r="E158" i="10"/>
  <c r="H158" i="10" s="1"/>
  <c r="E157" i="10"/>
  <c r="H157" i="10" s="1"/>
  <c r="E156" i="10"/>
  <c r="H156" i="10" s="1"/>
  <c r="E155" i="10"/>
  <c r="H155" i="10" s="1"/>
  <c r="E154" i="10"/>
  <c r="H154" i="10" s="1"/>
  <c r="E153" i="10"/>
  <c r="H153" i="10" s="1"/>
  <c r="E152" i="10"/>
  <c r="H152" i="10" s="1"/>
  <c r="E151" i="10"/>
  <c r="H151" i="10" s="1"/>
  <c r="E150" i="10"/>
  <c r="H150" i="10" s="1"/>
  <c r="E149" i="10"/>
  <c r="H149" i="10" s="1"/>
  <c r="E148" i="10"/>
  <c r="H148" i="10" s="1"/>
  <c r="E147" i="10"/>
  <c r="H147" i="10" s="1"/>
  <c r="E146" i="10"/>
  <c r="H146" i="10" s="1"/>
  <c r="E145" i="10"/>
  <c r="H145" i="10" s="1"/>
  <c r="E144" i="10"/>
  <c r="H144" i="10" s="1"/>
  <c r="E143" i="10"/>
  <c r="H143" i="10" s="1"/>
  <c r="E142" i="10"/>
  <c r="H142" i="10" s="1"/>
  <c r="E141" i="10"/>
  <c r="H141" i="10" s="1"/>
  <c r="E140" i="10"/>
  <c r="H140" i="10" s="1"/>
  <c r="E139" i="10"/>
  <c r="H139" i="10" s="1"/>
  <c r="E138" i="10"/>
  <c r="H138" i="10" s="1"/>
  <c r="E137" i="10"/>
  <c r="H137" i="10" s="1"/>
  <c r="E136" i="10"/>
  <c r="H136" i="10" s="1"/>
  <c r="E135" i="10"/>
  <c r="H135" i="10" s="1"/>
  <c r="E134" i="10"/>
  <c r="H134" i="10" s="1"/>
  <c r="E133" i="10"/>
  <c r="H133" i="10" s="1"/>
  <c r="E132" i="10"/>
  <c r="H132" i="10" s="1"/>
  <c r="E131" i="10"/>
  <c r="H131" i="10" s="1"/>
  <c r="E130" i="10"/>
  <c r="H130" i="10" s="1"/>
  <c r="E129" i="10"/>
  <c r="H129" i="10" s="1"/>
  <c r="E128" i="10"/>
  <c r="H128" i="10" s="1"/>
  <c r="E127" i="10"/>
  <c r="H127" i="10" s="1"/>
  <c r="E126" i="10"/>
  <c r="H126" i="10" s="1"/>
  <c r="E125" i="10"/>
  <c r="H125" i="10" s="1"/>
  <c r="E124" i="10"/>
  <c r="H124" i="10" s="1"/>
  <c r="E123" i="10"/>
  <c r="H123" i="10" s="1"/>
  <c r="E122" i="10"/>
  <c r="H122" i="10" s="1"/>
  <c r="E121" i="10"/>
  <c r="H121" i="10" s="1"/>
  <c r="E120" i="10"/>
  <c r="H120" i="10" s="1"/>
  <c r="E119" i="10"/>
  <c r="H119" i="10" s="1"/>
  <c r="E118" i="10"/>
  <c r="H118" i="10" s="1"/>
  <c r="E117" i="10"/>
  <c r="H117" i="10" s="1"/>
  <c r="E116" i="10"/>
  <c r="H116" i="10" s="1"/>
  <c r="E115" i="10"/>
  <c r="H115" i="10" s="1"/>
  <c r="E114" i="10"/>
  <c r="H114" i="10" s="1"/>
  <c r="E113" i="10"/>
  <c r="H113" i="10" s="1"/>
  <c r="E112" i="10"/>
  <c r="H112" i="10" s="1"/>
  <c r="E111" i="10"/>
  <c r="H111" i="10" s="1"/>
  <c r="E110" i="10"/>
  <c r="H110" i="10" s="1"/>
  <c r="E109" i="10"/>
  <c r="H109" i="10" s="1"/>
  <c r="E108" i="10"/>
  <c r="H108" i="10" s="1"/>
  <c r="E107" i="10"/>
  <c r="H107" i="10" s="1"/>
  <c r="E106" i="10"/>
  <c r="H106" i="10" s="1"/>
  <c r="E105" i="10"/>
  <c r="H105" i="10" s="1"/>
  <c r="E104" i="10"/>
  <c r="H104" i="10" s="1"/>
  <c r="E103" i="10"/>
  <c r="H103" i="10" s="1"/>
  <c r="D101" i="10"/>
  <c r="G101" i="10" s="1"/>
  <c r="C101" i="10"/>
  <c r="F101" i="10" s="1"/>
  <c r="D100" i="10"/>
  <c r="G100" i="10" s="1"/>
  <c r="C100" i="10"/>
  <c r="D99" i="10"/>
  <c r="C99" i="10"/>
  <c r="F99" i="10" s="1"/>
  <c r="E97" i="10"/>
  <c r="H97" i="10" s="1"/>
  <c r="E96" i="10"/>
  <c r="H96" i="10" s="1"/>
  <c r="E95" i="10"/>
  <c r="H95" i="10" s="1"/>
  <c r="E94" i="10"/>
  <c r="H94" i="10" s="1"/>
  <c r="E93" i="10"/>
  <c r="H93" i="10" s="1"/>
  <c r="E92" i="10"/>
  <c r="H92" i="10" s="1"/>
  <c r="E91" i="10"/>
  <c r="H91" i="10" s="1"/>
  <c r="E90" i="10"/>
  <c r="H90" i="10" s="1"/>
  <c r="E89" i="10"/>
  <c r="H89" i="10" s="1"/>
  <c r="E88" i="10"/>
  <c r="H88" i="10" s="1"/>
  <c r="E87" i="10"/>
  <c r="H87" i="10" s="1"/>
  <c r="E86" i="10"/>
  <c r="H86" i="10" s="1"/>
  <c r="E85" i="10"/>
  <c r="H85" i="10" s="1"/>
  <c r="E84" i="10"/>
  <c r="H84" i="10" s="1"/>
  <c r="E83" i="10"/>
  <c r="H83" i="10" s="1"/>
  <c r="E82" i="10"/>
  <c r="H82" i="10" s="1"/>
  <c r="E81" i="10"/>
  <c r="H81" i="10" s="1"/>
  <c r="E80" i="10"/>
  <c r="H80" i="10" s="1"/>
  <c r="E79" i="10"/>
  <c r="H79" i="10" s="1"/>
  <c r="E78" i="10"/>
  <c r="H78" i="10" s="1"/>
  <c r="D76" i="10"/>
  <c r="G76" i="10" s="1"/>
  <c r="C76" i="10"/>
  <c r="F76" i="10" s="1"/>
  <c r="D75" i="10"/>
  <c r="G75" i="10" s="1"/>
  <c r="C75" i="10"/>
  <c r="D74" i="10"/>
  <c r="C74" i="10"/>
  <c r="F74" i="10" s="1"/>
  <c r="E72" i="10"/>
  <c r="H72" i="10" s="1"/>
  <c r="E71" i="10"/>
  <c r="H71" i="10" s="1"/>
  <c r="E70" i="10"/>
  <c r="H70" i="10" s="1"/>
  <c r="E69" i="10"/>
  <c r="H69" i="10" s="1"/>
  <c r="E68" i="10"/>
  <c r="H68" i="10" s="1"/>
  <c r="E67" i="10"/>
  <c r="H67" i="10" s="1"/>
  <c r="E66" i="10"/>
  <c r="H66" i="10" s="1"/>
  <c r="E65" i="10"/>
  <c r="H65" i="10" s="1"/>
  <c r="E64" i="10"/>
  <c r="H64" i="10" s="1"/>
  <c r="E63" i="10"/>
  <c r="H63" i="10" s="1"/>
  <c r="E62" i="10"/>
  <c r="H62" i="10" s="1"/>
  <c r="E61" i="10"/>
  <c r="H61" i="10" s="1"/>
  <c r="E60" i="10"/>
  <c r="H60" i="10" s="1"/>
  <c r="E59" i="10"/>
  <c r="H59" i="10" s="1"/>
  <c r="E58" i="10"/>
  <c r="H58" i="10" s="1"/>
  <c r="E57" i="10"/>
  <c r="H57" i="10" s="1"/>
  <c r="E56" i="10"/>
  <c r="H56" i="10" s="1"/>
  <c r="E55" i="10"/>
  <c r="H55" i="10" s="1"/>
  <c r="E54" i="10"/>
  <c r="H54" i="10" s="1"/>
  <c r="E53" i="10"/>
  <c r="H53" i="10" s="1"/>
  <c r="E52" i="10"/>
  <c r="H52" i="10" s="1"/>
  <c r="E51" i="10"/>
  <c r="H51" i="10" s="1"/>
  <c r="E50" i="10"/>
  <c r="H50" i="10" s="1"/>
  <c r="E49" i="10"/>
  <c r="H49" i="10" s="1"/>
  <c r="E48" i="10"/>
  <c r="H48" i="10" s="1"/>
  <c r="E47" i="10"/>
  <c r="H47" i="10" s="1"/>
  <c r="D40" i="10"/>
  <c r="G40" i="10" s="1"/>
  <c r="C40" i="10"/>
  <c r="D39" i="10"/>
  <c r="G39" i="10" s="1"/>
  <c r="C39" i="10"/>
  <c r="D38" i="10"/>
  <c r="G38" i="10" s="1"/>
  <c r="C38" i="10"/>
  <c r="D37" i="10"/>
  <c r="G37" i="10" s="1"/>
  <c r="C37" i="10"/>
  <c r="D36" i="10"/>
  <c r="G36" i="10" s="1"/>
  <c r="C36" i="10"/>
  <c r="D35" i="10"/>
  <c r="G35" i="10" s="1"/>
  <c r="C35" i="10"/>
  <c r="D34" i="10"/>
  <c r="G34" i="10" s="1"/>
  <c r="C34" i="10"/>
  <c r="D33" i="10"/>
  <c r="G33" i="10" s="1"/>
  <c r="C33" i="10"/>
  <c r="D32" i="10"/>
  <c r="G32" i="10" s="1"/>
  <c r="C32" i="10"/>
  <c r="D31" i="10"/>
  <c r="G31" i="10" s="1"/>
  <c r="C31" i="10"/>
  <c r="D30" i="10"/>
  <c r="G30" i="10" s="1"/>
  <c r="C30" i="10"/>
  <c r="D29" i="10"/>
  <c r="G29" i="10" s="1"/>
  <c r="C29" i="10"/>
  <c r="D28" i="10"/>
  <c r="G28" i="10" s="1"/>
  <c r="C28" i="10"/>
  <c r="D27" i="10"/>
  <c r="G27" i="10" s="1"/>
  <c r="C27" i="10"/>
  <c r="D26" i="10"/>
  <c r="G26" i="10" s="1"/>
  <c r="C26" i="10"/>
  <c r="D25" i="10"/>
  <c r="G25" i="10" s="1"/>
  <c r="C25" i="10"/>
  <c r="D24" i="10"/>
  <c r="G24" i="10" s="1"/>
  <c r="C24" i="10"/>
  <c r="D23" i="10"/>
  <c r="G23" i="10" s="1"/>
  <c r="C23" i="10"/>
  <c r="D22" i="10"/>
  <c r="G22" i="10" s="1"/>
  <c r="C22" i="10"/>
  <c r="D21" i="10"/>
  <c r="G21" i="10" s="1"/>
  <c r="C21" i="10"/>
  <c r="D20" i="10"/>
  <c r="G20" i="10" s="1"/>
  <c r="C20" i="10"/>
  <c r="D19" i="10"/>
  <c r="G19" i="10" s="1"/>
  <c r="C19" i="10"/>
  <c r="D18" i="10"/>
  <c r="G18" i="10" s="1"/>
  <c r="C18" i="10"/>
  <c r="D17" i="10"/>
  <c r="G17" i="10" s="1"/>
  <c r="C17" i="10"/>
  <c r="D16" i="10"/>
  <c r="G16" i="10" s="1"/>
  <c r="C16" i="10"/>
  <c r="D15" i="10"/>
  <c r="G15" i="10" s="1"/>
  <c r="C15" i="10"/>
  <c r="D14" i="10"/>
  <c r="G14" i="10" s="1"/>
  <c r="C14" i="10"/>
  <c r="D13" i="10"/>
  <c r="G13" i="10" s="1"/>
  <c r="C13" i="10"/>
  <c r="D12" i="10"/>
  <c r="G12" i="10" s="1"/>
  <c r="C12" i="10"/>
  <c r="D11" i="10"/>
  <c r="G11" i="10" s="1"/>
  <c r="C11" i="10"/>
  <c r="D10" i="10"/>
  <c r="G10" i="10" s="1"/>
  <c r="C10" i="10"/>
  <c r="D9" i="10"/>
  <c r="G9" i="10" s="1"/>
  <c r="C9" i="10"/>
  <c r="D8" i="10"/>
  <c r="G8" i="10" s="1"/>
  <c r="C8" i="10"/>
  <c r="D7" i="10"/>
  <c r="G7" i="10" s="1"/>
  <c r="C7" i="10"/>
  <c r="D6" i="10"/>
  <c r="G6" i="10" s="1"/>
  <c r="C6" i="10"/>
  <c r="D5" i="10"/>
  <c r="C5" i="10"/>
  <c r="F5" i="10" s="1"/>
  <c r="D44" i="10" l="1"/>
  <c r="G44" i="10" s="1"/>
  <c r="G5" i="10"/>
  <c r="E6" i="10"/>
  <c r="H6" i="10" s="1"/>
  <c r="F6" i="10"/>
  <c r="E7" i="10"/>
  <c r="H7" i="10" s="1"/>
  <c r="F7" i="10"/>
  <c r="E8" i="10"/>
  <c r="H8" i="10" s="1"/>
  <c r="F8" i="10"/>
  <c r="E9" i="10"/>
  <c r="H9" i="10" s="1"/>
  <c r="F9" i="10"/>
  <c r="E10" i="10"/>
  <c r="H10" i="10" s="1"/>
  <c r="F10" i="10"/>
  <c r="E11" i="10"/>
  <c r="H11" i="10" s="1"/>
  <c r="F11" i="10"/>
  <c r="E12" i="10"/>
  <c r="H12" i="10" s="1"/>
  <c r="F12" i="10"/>
  <c r="E13" i="10"/>
  <c r="H13" i="10" s="1"/>
  <c r="F13" i="10"/>
  <c r="E14" i="10"/>
  <c r="H14" i="10" s="1"/>
  <c r="F14" i="10"/>
  <c r="E15" i="10"/>
  <c r="H15" i="10" s="1"/>
  <c r="F15" i="10"/>
  <c r="E16" i="10"/>
  <c r="H16" i="10" s="1"/>
  <c r="F16" i="10"/>
  <c r="E17" i="10"/>
  <c r="H17" i="10" s="1"/>
  <c r="F17" i="10"/>
  <c r="E18" i="10"/>
  <c r="H18" i="10" s="1"/>
  <c r="F18" i="10"/>
  <c r="E19" i="10"/>
  <c r="H19" i="10" s="1"/>
  <c r="F19" i="10"/>
  <c r="E20" i="10"/>
  <c r="H20" i="10" s="1"/>
  <c r="F20" i="10"/>
  <c r="E21" i="10"/>
  <c r="H21" i="10" s="1"/>
  <c r="F21" i="10"/>
  <c r="E22" i="10"/>
  <c r="H22" i="10" s="1"/>
  <c r="F22" i="10"/>
  <c r="E23" i="10"/>
  <c r="H23" i="10" s="1"/>
  <c r="F23" i="10"/>
  <c r="E24" i="10"/>
  <c r="H24" i="10" s="1"/>
  <c r="F24" i="10"/>
  <c r="E25" i="10"/>
  <c r="H25" i="10" s="1"/>
  <c r="F25" i="10"/>
  <c r="E26" i="10"/>
  <c r="H26" i="10" s="1"/>
  <c r="F26" i="10"/>
  <c r="E27" i="10"/>
  <c r="H27" i="10" s="1"/>
  <c r="F27" i="10"/>
  <c r="E28" i="10"/>
  <c r="H28" i="10" s="1"/>
  <c r="F28" i="10"/>
  <c r="E29" i="10"/>
  <c r="H29" i="10" s="1"/>
  <c r="F29" i="10"/>
  <c r="E30" i="10"/>
  <c r="H30" i="10" s="1"/>
  <c r="F30" i="10"/>
  <c r="E31" i="10"/>
  <c r="H31" i="10" s="1"/>
  <c r="F31" i="10"/>
  <c r="E32" i="10"/>
  <c r="H32" i="10" s="1"/>
  <c r="F32" i="10"/>
  <c r="E33" i="10"/>
  <c r="H33" i="10" s="1"/>
  <c r="F33" i="10"/>
  <c r="E34" i="10"/>
  <c r="H34" i="10" s="1"/>
  <c r="F34" i="10"/>
  <c r="E35" i="10"/>
  <c r="H35" i="10" s="1"/>
  <c r="F35" i="10"/>
  <c r="E36" i="10"/>
  <c r="H36" i="10" s="1"/>
  <c r="F36" i="10"/>
  <c r="E37" i="10"/>
  <c r="H37" i="10" s="1"/>
  <c r="F37" i="10"/>
  <c r="E38" i="10"/>
  <c r="H38" i="10" s="1"/>
  <c r="F38" i="10"/>
  <c r="E39" i="10"/>
  <c r="H39" i="10" s="1"/>
  <c r="F39" i="10"/>
  <c r="E40" i="10"/>
  <c r="H40" i="10" s="1"/>
  <c r="F40" i="10"/>
  <c r="F75" i="10"/>
  <c r="F100" i="10"/>
  <c r="M8" i="10"/>
  <c r="O8" i="10" s="1"/>
  <c r="G217" i="10"/>
  <c r="M9" i="10"/>
  <c r="O9" i="10" s="1"/>
  <c r="G242" i="10"/>
  <c r="F273" i="10"/>
  <c r="N11" i="10"/>
  <c r="P11" i="10" s="1"/>
  <c r="F339" i="10"/>
  <c r="M6" i="10"/>
  <c r="O6" i="10" s="1"/>
  <c r="G74" i="10"/>
  <c r="M7" i="10"/>
  <c r="O7" i="10" s="1"/>
  <c r="G99" i="10"/>
  <c r="F218" i="10"/>
  <c r="E244" i="10"/>
  <c r="H221" i="10"/>
  <c r="F243" i="10"/>
  <c r="M10" i="10"/>
  <c r="O10" i="10" s="1"/>
  <c r="G272" i="10"/>
  <c r="C43" i="10"/>
  <c r="E75" i="10"/>
  <c r="H75" i="10" s="1"/>
  <c r="E219" i="10"/>
  <c r="E274" i="10"/>
  <c r="E76" i="10"/>
  <c r="E100" i="10"/>
  <c r="H100" i="10" s="1"/>
  <c r="E218" i="10"/>
  <c r="H218" i="10" s="1"/>
  <c r="E243" i="10"/>
  <c r="H243" i="10" s="1"/>
  <c r="D43" i="10"/>
  <c r="G43" i="10" s="1"/>
  <c r="D130" i="24"/>
  <c r="N113" i="8"/>
  <c r="O113" i="8"/>
  <c r="P113" i="8"/>
  <c r="N114" i="8"/>
  <c r="P114" i="8"/>
  <c r="O114" i="8"/>
  <c r="F116" i="8"/>
  <c r="H115" i="8"/>
  <c r="J115" i="8" s="1"/>
  <c r="G115" i="8"/>
  <c r="E94" i="8"/>
  <c r="B95" i="8"/>
  <c r="B80" i="8"/>
  <c r="E5" i="10"/>
  <c r="H5" i="10" s="1"/>
  <c r="C42" i="10"/>
  <c r="F42" i="10" s="1"/>
  <c r="C44" i="10"/>
  <c r="F44" i="10" s="1"/>
  <c r="E99" i="10"/>
  <c r="H99" i="10" s="1"/>
  <c r="E101" i="10"/>
  <c r="E217" i="10"/>
  <c r="H217" i="10" s="1"/>
  <c r="E273" i="10"/>
  <c r="H273" i="10" s="1"/>
  <c r="D42" i="10"/>
  <c r="E74" i="10"/>
  <c r="H74" i="10" s="1"/>
  <c r="E242" i="10"/>
  <c r="H242" i="10" s="1"/>
  <c r="E272" i="10"/>
  <c r="H272" i="10" s="1"/>
  <c r="B69" i="8"/>
  <c r="E79" i="8" s="1"/>
  <c r="B60" i="8"/>
  <c r="B62" i="8" s="1"/>
  <c r="B63" i="8" s="1"/>
  <c r="B64" i="8" s="1"/>
  <c r="B50" i="8"/>
  <c r="B47" i="8"/>
  <c r="B36" i="8"/>
  <c r="B28" i="8"/>
  <c r="B31" i="8" s="1"/>
  <c r="C20" i="8"/>
  <c r="C21" i="8" s="1"/>
  <c r="C22" i="8" s="1"/>
  <c r="B20" i="8"/>
  <c r="B21" i="8" s="1"/>
  <c r="B22" i="8" s="1"/>
  <c r="B39" i="8"/>
  <c r="N7" i="10" l="1"/>
  <c r="P7" i="10" s="1"/>
  <c r="H101" i="10"/>
  <c r="N10" i="10"/>
  <c r="P10" i="10" s="1"/>
  <c r="H274" i="10"/>
  <c r="M5" i="10"/>
  <c r="O5" i="10" s="1"/>
  <c r="G42" i="10"/>
  <c r="N6" i="10"/>
  <c r="P6" i="10" s="1"/>
  <c r="H76" i="10"/>
  <c r="N8" i="10"/>
  <c r="P8" i="10" s="1"/>
  <c r="H219" i="10"/>
  <c r="F43" i="10"/>
  <c r="N9" i="10"/>
  <c r="P9" i="10" s="1"/>
  <c r="H244" i="10"/>
  <c r="C132" i="24"/>
  <c r="D131" i="24"/>
  <c r="I115" i="8"/>
  <c r="M115" i="8" s="1"/>
  <c r="H116" i="8"/>
  <c r="J116" i="8" s="1"/>
  <c r="F117" i="8"/>
  <c r="G116" i="8"/>
  <c r="I116" i="8" s="1"/>
  <c r="M116" i="8" s="1"/>
  <c r="E75" i="8"/>
  <c r="E77" i="8"/>
  <c r="E76" i="8"/>
  <c r="E78" i="8"/>
  <c r="E80" i="8"/>
  <c r="E95" i="8"/>
  <c r="B96" i="8"/>
  <c r="B81" i="8"/>
  <c r="E81" i="8" s="1"/>
  <c r="E43" i="10"/>
  <c r="H43" i="10" s="1"/>
  <c r="E44" i="10"/>
  <c r="E42" i="10"/>
  <c r="H42" i="10" s="1"/>
  <c r="B51" i="8"/>
  <c r="B40" i="8"/>
  <c r="N36" i="9"/>
  <c r="M36" i="9"/>
  <c r="L36" i="9"/>
  <c r="K36" i="9"/>
  <c r="J36" i="9"/>
  <c r="I36" i="9"/>
  <c r="N35" i="9"/>
  <c r="M35" i="9"/>
  <c r="L35" i="9"/>
  <c r="K35" i="9"/>
  <c r="J35" i="9"/>
  <c r="I35" i="9"/>
  <c r="N34" i="9"/>
  <c r="M34" i="9"/>
  <c r="L34" i="9"/>
  <c r="K34" i="9"/>
  <c r="J34" i="9"/>
  <c r="I34" i="9"/>
  <c r="N33" i="9"/>
  <c r="M33" i="9"/>
  <c r="L33" i="9"/>
  <c r="K33" i="9"/>
  <c r="J33" i="9"/>
  <c r="I33" i="9"/>
  <c r="N32" i="9"/>
  <c r="M32" i="9"/>
  <c r="L32" i="9"/>
  <c r="K32" i="9"/>
  <c r="J32" i="9"/>
  <c r="I32" i="9"/>
  <c r="N31" i="9"/>
  <c r="M31" i="9"/>
  <c r="L31" i="9"/>
  <c r="K31" i="9"/>
  <c r="J31" i="9"/>
  <c r="I31" i="9"/>
  <c r="N30" i="9"/>
  <c r="M30" i="9"/>
  <c r="L30" i="9"/>
  <c r="K30" i="9"/>
  <c r="J30" i="9"/>
  <c r="I30" i="9"/>
  <c r="J29" i="9"/>
  <c r="I29" i="9"/>
  <c r="K29" i="9"/>
  <c r="L29" i="9"/>
  <c r="M29" i="9"/>
  <c r="N29" i="9"/>
  <c r="G29" i="9"/>
  <c r="H25" i="9"/>
  <c r="G25" i="9"/>
  <c r="F25" i="9"/>
  <c r="D25" i="9"/>
  <c r="C25" i="9"/>
  <c r="B25" i="9"/>
  <c r="H24" i="9"/>
  <c r="G24" i="9"/>
  <c r="F24" i="9"/>
  <c r="D24" i="9"/>
  <c r="C24" i="9"/>
  <c r="B24" i="9"/>
  <c r="H23" i="9"/>
  <c r="G23" i="9"/>
  <c r="F23" i="9"/>
  <c r="D23" i="9"/>
  <c r="C23" i="9"/>
  <c r="B23" i="9"/>
  <c r="H22" i="9"/>
  <c r="G22" i="9"/>
  <c r="F22" i="9"/>
  <c r="D22" i="9"/>
  <c r="C22" i="9"/>
  <c r="B22" i="9"/>
  <c r="H21" i="9"/>
  <c r="G21" i="9"/>
  <c r="F21" i="9"/>
  <c r="D21" i="9"/>
  <c r="C21" i="9"/>
  <c r="B21" i="9"/>
  <c r="H20" i="9"/>
  <c r="G20" i="9"/>
  <c r="F20" i="9"/>
  <c r="D20" i="9"/>
  <c r="C20" i="9"/>
  <c r="B20" i="9"/>
  <c r="H18" i="9"/>
  <c r="G18" i="9"/>
  <c r="F18" i="9"/>
  <c r="D18" i="9"/>
  <c r="C18" i="9"/>
  <c r="B18" i="9"/>
  <c r="H17" i="9"/>
  <c r="G17" i="9"/>
  <c r="F17" i="9"/>
  <c r="D17" i="9"/>
  <c r="C17" i="9"/>
  <c r="B17" i="9"/>
  <c r="H16" i="9"/>
  <c r="G16" i="9"/>
  <c r="F16" i="9"/>
  <c r="D16" i="9"/>
  <c r="C16" i="9"/>
  <c r="B16" i="9"/>
  <c r="H15" i="9"/>
  <c r="G15" i="9"/>
  <c r="F15" i="9"/>
  <c r="D15" i="9"/>
  <c r="C15" i="9"/>
  <c r="B15" i="9"/>
  <c r="H14" i="9"/>
  <c r="G14" i="9"/>
  <c r="F14" i="9"/>
  <c r="D14" i="9"/>
  <c r="C14" i="9"/>
  <c r="B14" i="9"/>
  <c r="H13" i="9"/>
  <c r="G13" i="9"/>
  <c r="F13" i="9"/>
  <c r="D13" i="9"/>
  <c r="C13" i="9"/>
  <c r="B13" i="9"/>
  <c r="H12" i="9"/>
  <c r="G12" i="9"/>
  <c r="F12" i="9"/>
  <c r="D12" i="9"/>
  <c r="C12" i="9"/>
  <c r="B12" i="9"/>
  <c r="H11" i="9"/>
  <c r="G11" i="9"/>
  <c r="F11" i="9"/>
  <c r="D11" i="9"/>
  <c r="C11" i="9"/>
  <c r="B11" i="9"/>
  <c r="H10" i="9"/>
  <c r="G10" i="9"/>
  <c r="F10" i="9"/>
  <c r="D10" i="9"/>
  <c r="C10" i="9"/>
  <c r="B10" i="9"/>
  <c r="H9" i="9"/>
  <c r="G9" i="9"/>
  <c r="F9" i="9"/>
  <c r="D9" i="9"/>
  <c r="C9" i="9"/>
  <c r="B9" i="9"/>
  <c r="H7" i="9"/>
  <c r="G7" i="9"/>
  <c r="F7" i="9"/>
  <c r="D7" i="9"/>
  <c r="C7" i="9"/>
  <c r="B7" i="9"/>
  <c r="H6" i="9"/>
  <c r="G6" i="9"/>
  <c r="F6" i="9"/>
  <c r="D6" i="9"/>
  <c r="C6" i="9"/>
  <c r="B6" i="9"/>
  <c r="H5" i="9"/>
  <c r="G5" i="9"/>
  <c r="F5" i="9"/>
  <c r="D5" i="9"/>
  <c r="C5" i="9"/>
  <c r="B5" i="9"/>
  <c r="H4" i="9"/>
  <c r="G4" i="9"/>
  <c r="F4" i="9"/>
  <c r="D4" i="9"/>
  <c r="C4" i="9"/>
  <c r="B4" i="9"/>
  <c r="G36" i="9"/>
  <c r="F36" i="9"/>
  <c r="E36" i="9"/>
  <c r="D36" i="9"/>
  <c r="C36" i="9"/>
  <c r="B36" i="9"/>
  <c r="G35" i="9"/>
  <c r="F35" i="9"/>
  <c r="E35" i="9"/>
  <c r="D35" i="9"/>
  <c r="C35" i="9"/>
  <c r="B35" i="9"/>
  <c r="G34" i="9"/>
  <c r="F34" i="9"/>
  <c r="E34" i="9"/>
  <c r="D34" i="9"/>
  <c r="C34" i="9"/>
  <c r="B34" i="9"/>
  <c r="G33" i="9"/>
  <c r="F33" i="9"/>
  <c r="E33" i="9"/>
  <c r="D33" i="9"/>
  <c r="C33" i="9"/>
  <c r="B33" i="9"/>
  <c r="G32" i="9"/>
  <c r="F32" i="9"/>
  <c r="E32" i="9"/>
  <c r="D32" i="9"/>
  <c r="C32" i="9"/>
  <c r="B32" i="9"/>
  <c r="G31" i="9"/>
  <c r="F31" i="9"/>
  <c r="E31" i="9"/>
  <c r="D31" i="9"/>
  <c r="C31" i="9"/>
  <c r="B31" i="9"/>
  <c r="G30" i="9"/>
  <c r="F30" i="9"/>
  <c r="E30" i="9"/>
  <c r="D30" i="9"/>
  <c r="C30" i="9"/>
  <c r="B30" i="9"/>
  <c r="B29" i="9"/>
  <c r="C29" i="9"/>
  <c r="D29" i="9"/>
  <c r="E29" i="9"/>
  <c r="F29" i="9"/>
  <c r="N5" i="10" l="1"/>
  <c r="P5" i="10" s="1"/>
  <c r="H44" i="10"/>
  <c r="C133" i="24"/>
  <c r="D132" i="24"/>
  <c r="B53" i="8"/>
  <c r="A21" i="19"/>
  <c r="B42" i="8"/>
  <c r="A20" i="19"/>
  <c r="N116" i="8"/>
  <c r="P116" i="8"/>
  <c r="O116" i="8"/>
  <c r="N115" i="8"/>
  <c r="O115" i="8"/>
  <c r="P115" i="8"/>
  <c r="F118" i="8"/>
  <c r="H118" i="8" s="1"/>
  <c r="J118" i="8" s="1"/>
  <c r="H117" i="8"/>
  <c r="J117" i="8" s="1"/>
  <c r="G117" i="8"/>
  <c r="E96" i="8"/>
  <c r="B97" i="8"/>
  <c r="B82" i="8"/>
  <c r="E82" i="8" s="1"/>
  <c r="W25" i="9"/>
  <c r="W24" i="9"/>
  <c r="W23" i="9"/>
  <c r="W22" i="9"/>
  <c r="W21" i="9"/>
  <c r="W20" i="9"/>
  <c r="W18" i="9"/>
  <c r="W17" i="9"/>
  <c r="W16" i="9"/>
  <c r="W15" i="9"/>
  <c r="W14" i="9"/>
  <c r="W13" i="9"/>
  <c r="W12" i="9"/>
  <c r="W11" i="9"/>
  <c r="W10" i="9"/>
  <c r="W9" i="9"/>
  <c r="W7" i="9"/>
  <c r="W6" i="9"/>
  <c r="W5" i="9"/>
  <c r="Y36" i="9"/>
  <c r="Y35" i="9"/>
  <c r="Y34" i="9"/>
  <c r="Y33" i="9"/>
  <c r="Y32" i="9"/>
  <c r="Y31" i="9"/>
  <c r="Y30" i="9"/>
  <c r="Y29" i="9"/>
  <c r="W4" i="9"/>
  <c r="C11" i="8"/>
  <c r="C8" i="8"/>
  <c r="C9" i="8" s="1"/>
  <c r="B8" i="8"/>
  <c r="B9" i="8" s="1"/>
  <c r="C134" i="24" l="1"/>
  <c r="D133" i="24"/>
  <c r="C83" i="19"/>
  <c r="E83" i="19" s="1"/>
  <c r="F83" i="19" s="1"/>
  <c r="C52" i="19"/>
  <c r="G52" i="19" s="1"/>
  <c r="H52" i="19" s="1"/>
  <c r="K52" i="19" s="1"/>
  <c r="B37" i="19"/>
  <c r="D37" i="19" s="1"/>
  <c r="E37" i="19" s="1"/>
  <c r="H37" i="19" s="1"/>
  <c r="C53" i="19"/>
  <c r="G53" i="19" s="1"/>
  <c r="C84" i="19"/>
  <c r="E84" i="19" s="1"/>
  <c r="F84" i="19" s="1"/>
  <c r="B38" i="19"/>
  <c r="D38" i="19" s="1"/>
  <c r="B14" i="8"/>
  <c r="B16" i="8" s="1"/>
  <c r="B18" i="8" s="1"/>
  <c r="I6" i="8"/>
  <c r="K6" i="8" s="1"/>
  <c r="I117" i="8"/>
  <c r="M117" i="8" s="1"/>
  <c r="G118" i="8"/>
  <c r="I118" i="8" s="1"/>
  <c r="M118" i="8" s="1"/>
  <c r="E97" i="8"/>
  <c r="B98" i="8"/>
  <c r="B83" i="8"/>
  <c r="E83" i="8" s="1"/>
  <c r="C14" i="8"/>
  <c r="C16" i="8" s="1"/>
  <c r="C18" i="8" s="1"/>
  <c r="D134" i="24" l="1"/>
  <c r="H38" i="19"/>
  <c r="E38" i="19"/>
  <c r="H53" i="19"/>
  <c r="K53" i="19"/>
  <c r="D78" i="19"/>
  <c r="G78" i="19" s="1"/>
  <c r="J78" i="19" s="1"/>
  <c r="K78" i="19" s="1"/>
  <c r="D73" i="19"/>
  <c r="G73" i="19" s="1"/>
  <c r="J73" i="19" s="1"/>
  <c r="K73" i="19" s="1"/>
  <c r="D72" i="19"/>
  <c r="G72" i="19" s="1"/>
  <c r="J72" i="19" s="1"/>
  <c r="K72" i="19" s="1"/>
  <c r="D77" i="19"/>
  <c r="G77" i="19" s="1"/>
  <c r="J77" i="19" s="1"/>
  <c r="K77" i="19" s="1"/>
  <c r="N118" i="8"/>
  <c r="P118" i="8"/>
  <c r="O118" i="8"/>
  <c r="N117" i="8"/>
  <c r="O117" i="8"/>
  <c r="P117" i="8"/>
  <c r="G119" i="8"/>
  <c r="I119" i="8" s="1"/>
  <c r="M119" i="8" s="1"/>
  <c r="E98" i="8"/>
  <c r="B99" i="8"/>
  <c r="B84" i="8"/>
  <c r="E84" i="8" s="1"/>
  <c r="C136" i="24" l="1"/>
  <c r="C137" i="24" s="1"/>
  <c r="D135" i="24"/>
  <c r="N119" i="8"/>
  <c r="O119" i="8"/>
  <c r="P119" i="8"/>
  <c r="G120" i="8"/>
  <c r="I120" i="8" s="1"/>
  <c r="M120" i="8" s="1"/>
  <c r="E99" i="8"/>
  <c r="B100" i="8"/>
  <c r="D137" i="24" l="1"/>
  <c r="C138" i="24"/>
  <c r="D136" i="24"/>
  <c r="N120" i="8"/>
  <c r="P120" i="8"/>
  <c r="O120" i="8"/>
  <c r="G121" i="8"/>
  <c r="E100" i="8"/>
  <c r="C139" i="24" l="1"/>
  <c r="D138" i="24"/>
  <c r="I121" i="8"/>
  <c r="M121" i="8" s="1"/>
  <c r="I8" i="17"/>
  <c r="O8" i="17" s="1"/>
  <c r="Q8" i="17" s="1"/>
  <c r="D139" i="24" l="1"/>
  <c r="C140" i="24"/>
  <c r="G140" i="24" s="1"/>
  <c r="N121" i="8"/>
  <c r="O121" i="8"/>
  <c r="P121" i="8"/>
  <c r="J8" i="17"/>
  <c r="C141" i="24" l="1"/>
  <c r="D140" i="24"/>
  <c r="J17" i="16"/>
  <c r="T17" i="16" s="1"/>
  <c r="U17" i="16" s="1"/>
  <c r="V17" i="16" s="1"/>
  <c r="J18" i="16"/>
  <c r="T18" i="16" s="1"/>
  <c r="U18" i="16" s="1"/>
  <c r="V18" i="16" s="1"/>
  <c r="J16" i="16"/>
  <c r="T16" i="16" s="1"/>
  <c r="U16" i="16" s="1"/>
  <c r="V16" i="16" s="1"/>
  <c r="J15" i="16"/>
  <c r="T15" i="16" s="1"/>
  <c r="U15" i="16" s="1"/>
  <c r="V15" i="16" s="1"/>
  <c r="J14" i="16"/>
  <c r="T14" i="16" s="1"/>
  <c r="U14" i="16" s="1"/>
  <c r="V14" i="16" s="1"/>
  <c r="C142" i="24" l="1"/>
  <c r="D141" i="24"/>
  <c r="Y14" i="16"/>
  <c r="X14" i="16"/>
  <c r="Y15" i="16"/>
  <c r="X15" i="16"/>
  <c r="Y18" i="16"/>
  <c r="X18" i="16"/>
  <c r="Y16" i="16"/>
  <c r="X16" i="16"/>
  <c r="Y17" i="16"/>
  <c r="X17" i="16"/>
  <c r="W15" i="16"/>
  <c r="W18" i="16"/>
  <c r="W14" i="16"/>
  <c r="W16" i="16"/>
  <c r="W17" i="16"/>
  <c r="K15" i="16"/>
  <c r="AE15" i="16" s="1"/>
  <c r="AD15" i="16"/>
  <c r="K18" i="16"/>
  <c r="AE18" i="16" s="1"/>
  <c r="AD18" i="16"/>
  <c r="K14" i="16"/>
  <c r="AE14" i="16" s="1"/>
  <c r="AD14" i="16"/>
  <c r="K16" i="16"/>
  <c r="AE16" i="16" s="1"/>
  <c r="AD16" i="16"/>
  <c r="K17" i="16"/>
  <c r="AE17" i="16" s="1"/>
  <c r="AD17" i="16"/>
  <c r="P14" i="16"/>
  <c r="R14" i="16" s="1"/>
  <c r="P16" i="16"/>
  <c r="R16" i="16" s="1"/>
  <c r="P17" i="16"/>
  <c r="R17" i="16" s="1"/>
  <c r="P15" i="16"/>
  <c r="R15" i="16" s="1"/>
  <c r="P18" i="16"/>
  <c r="R18" i="16" s="1"/>
  <c r="M7" i="18"/>
  <c r="I7" i="18" s="1"/>
  <c r="K7" i="18" s="1"/>
  <c r="M6" i="18"/>
  <c r="I6" i="18" s="1"/>
  <c r="K6" i="18" s="1"/>
  <c r="M5" i="18"/>
  <c r="I5" i="18" s="1"/>
  <c r="K5" i="18" s="1"/>
  <c r="M8" i="18"/>
  <c r="I8" i="18" s="1"/>
  <c r="K8" i="18" s="1"/>
  <c r="M9" i="18"/>
  <c r="I9" i="18" s="1"/>
  <c r="K9" i="18" s="1"/>
  <c r="M4" i="18"/>
  <c r="I4" i="18" s="1"/>
  <c r="K4" i="18" s="1"/>
  <c r="C143" i="24" l="1"/>
  <c r="D142" i="24"/>
  <c r="Q9" i="18"/>
  <c r="S9" i="18" s="1"/>
  <c r="L9" i="18"/>
  <c r="Q5" i="18"/>
  <c r="S5" i="18" s="1"/>
  <c r="L5" i="18"/>
  <c r="Q7" i="18"/>
  <c r="S7" i="18" s="1"/>
  <c r="L7" i="18"/>
  <c r="Q4" i="18"/>
  <c r="S4" i="18" s="1"/>
  <c r="L4" i="18"/>
  <c r="Q8" i="18"/>
  <c r="S8" i="18" s="1"/>
  <c r="L8" i="18"/>
  <c r="Q6" i="18"/>
  <c r="S6" i="18" s="1"/>
  <c r="L6" i="18"/>
  <c r="D143" i="24" l="1"/>
  <c r="C144" i="24"/>
  <c r="G144" i="24" s="1"/>
  <c r="C145" i="24" l="1"/>
  <c r="D144" i="24"/>
  <c r="C146" i="24" l="1"/>
  <c r="D145" i="24"/>
  <c r="D146" i="24" l="1"/>
  <c r="C147" i="24"/>
  <c r="C148" i="24" l="1"/>
  <c r="G148" i="24" s="1"/>
  <c r="D147" i="24"/>
  <c r="C149" i="24" l="1"/>
  <c r="D148" i="24"/>
  <c r="C150" i="24" l="1"/>
  <c r="D149" i="24"/>
  <c r="C151" i="24" l="1"/>
  <c r="D150" i="24"/>
  <c r="C152" i="24" l="1"/>
  <c r="D151" i="24"/>
  <c r="D152" i="24" l="1"/>
  <c r="C153" i="24"/>
  <c r="G153" i="24" s="1"/>
  <c r="C154" i="24" l="1"/>
  <c r="D153" i="24"/>
  <c r="C155" i="24" l="1"/>
  <c r="D154" i="24"/>
  <c r="C156" i="24" l="1"/>
  <c r="D155" i="24"/>
  <c r="C157" i="24" l="1"/>
  <c r="G157" i="24" s="1"/>
  <c r="D156" i="24"/>
  <c r="C158" i="24" l="1"/>
  <c r="D157" i="24"/>
  <c r="C159" i="24" l="1"/>
  <c r="D158" i="24"/>
  <c r="C160" i="24" l="1"/>
  <c r="D159" i="24"/>
  <c r="C161" i="24" l="1"/>
  <c r="D160" i="24"/>
  <c r="C162" i="24" l="1"/>
  <c r="G162" i="24" s="1"/>
  <c r="D161" i="24"/>
  <c r="C163" i="24" l="1"/>
  <c r="D162" i="24"/>
  <c r="C164" i="24" l="1"/>
  <c r="D164" i="24" s="1"/>
  <c r="D163" i="24"/>
  <c r="G3" i="50"/>
  <c r="K3" i="50" s="1"/>
  <c r="C5" i="50"/>
  <c r="G5" i="50" s="1"/>
  <c r="I5" i="50"/>
  <c r="J5" i="50" l="1"/>
  <c r="K5" i="5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<sst xmlns="http://schemas.openxmlformats.org/spreadsheetml/2006/main" count="11276" uniqueCount="4593">
  <si>
    <t>This spreadsheet houses many of the tables used in the return to life systems analysis.</t>
  </si>
  <si>
    <t>Select the appropriate tabs.</t>
  </si>
  <si>
    <t>Copyright 2020. This speradsheet may be freely distributed and referenced as long as the author is clearly identified. When using this paper for critical review or significant meetings the author requests that he be contacted and made aware of the events. Any publication works that will collect money from part or all of this content must contact the author.</t>
  </si>
  <si>
    <t>COVID-19 Return To Life A Systems Perspective</t>
  </si>
  <si>
    <t>By Walter Sobkiw</t>
  </si>
  <si>
    <t>This research is not associated with any institution.</t>
  </si>
  <si>
    <t>It is ongoing and part of a broader set of COVID-19 systems oriented research areas.</t>
  </si>
  <si>
    <t>www.cassbeth.com/covid-19</t>
  </si>
  <si>
    <t>#</t>
  </si>
  <si>
    <t>Country</t>
  </si>
  <si>
    <t>Deaths</t>
  </si>
  <si>
    <t>Cases/1M</t>
  </si>
  <si>
    <t>Deaths/1M</t>
  </si>
  <si>
    <t>Population</t>
  </si>
  <si>
    <t>Observations</t>
  </si>
  <si>
    <t>World</t>
  </si>
  <si>
    <t>USA</t>
  </si>
  <si>
    <t>UK</t>
  </si>
  <si>
    <t>Italy</t>
  </si>
  <si>
    <t>France</t>
  </si>
  <si>
    <t>Spain</t>
  </si>
  <si>
    <t>Brazil</t>
  </si>
  <si>
    <t>Belgium</t>
  </si>
  <si>
    <t>Germany</t>
  </si>
  <si>
    <t>Mexico</t>
  </si>
  <si>
    <t>Iran</t>
  </si>
  <si>
    <t>Canada</t>
  </si>
  <si>
    <t>Netherlands</t>
  </si>
  <si>
    <t>China</t>
  </si>
  <si>
    <t>Turkey</t>
  </si>
  <si>
    <t>India</t>
  </si>
  <si>
    <t>Sweden</t>
  </si>
  <si>
    <t>Russia</t>
  </si>
  <si>
    <t>Peru</t>
  </si>
  <si>
    <t>Ecuador</t>
  </si>
  <si>
    <t>Switzerland</t>
  </si>
  <si>
    <t>Ireland</t>
  </si>
  <si>
    <t>Indonesia</t>
  </si>
  <si>
    <t>Portugal</t>
  </si>
  <si>
    <t>Romania</t>
  </si>
  <si>
    <t>Pakistan</t>
  </si>
  <si>
    <t>Poland</t>
  </si>
  <si>
    <t>Philippines</t>
  </si>
  <si>
    <t>Japan</t>
  </si>
  <si>
    <t>Chile</t>
  </si>
  <si>
    <t>Egypt</t>
  </si>
  <si>
    <t>Personal Observation circa 1995: The people in Egypt live outside. The car windows are always rolled down and the high rise apartments have no windows.</t>
  </si>
  <si>
    <t>Colombia</t>
  </si>
  <si>
    <t>Ukraine</t>
  </si>
  <si>
    <t>Austria</t>
  </si>
  <si>
    <t>Algeria</t>
  </si>
  <si>
    <t>Denmark</t>
  </si>
  <si>
    <t>South Africa</t>
  </si>
  <si>
    <t>Bangladesh</t>
  </si>
  <si>
    <t>Hungary</t>
  </si>
  <si>
    <t>Argentina</t>
  </si>
  <si>
    <t>Dominican Republic</t>
  </si>
  <si>
    <t>Saudi Arabia</t>
  </si>
  <si>
    <t>Czechia</t>
  </si>
  <si>
    <t>Panama</t>
  </si>
  <si>
    <t>Finland</t>
  </si>
  <si>
    <t>Israel</t>
  </si>
  <si>
    <t>S. Korea</t>
  </si>
  <si>
    <t>It is unclear if people live outside in S. Korea. It is possible that as an extremely high technology society they may have a very effective virus mitigation action plan.</t>
  </si>
  <si>
    <t>Moldova</t>
  </si>
  <si>
    <t>Bolivia</t>
  </si>
  <si>
    <t>UAE</t>
  </si>
  <si>
    <t>Nigeria</t>
  </si>
  <si>
    <t>Serbia</t>
  </si>
  <si>
    <t>Norway</t>
  </si>
  <si>
    <t>Afghanistan</t>
  </si>
  <si>
    <t>Belarus</t>
  </si>
  <si>
    <t>Morocco</t>
  </si>
  <si>
    <t>Honduras</t>
  </si>
  <si>
    <t>Cameroon</t>
  </si>
  <si>
    <t>Greece</t>
  </si>
  <si>
    <t>Greece takes great pride in the virus mitigation action plan that they enacted very early in the COVID-19 outbreak. One news report showed that they even spray their outdoor beach lounges with disinfectant.</t>
  </si>
  <si>
    <t>Kuwait</t>
  </si>
  <si>
    <t>Sudan</t>
  </si>
  <si>
    <t>Iraq</t>
  </si>
  <si>
    <t>Bosnia and Herzegovina</t>
  </si>
  <si>
    <t>Bulgaria</t>
  </si>
  <si>
    <t>North Macedonia</t>
  </si>
  <si>
    <t>Malaysia</t>
  </si>
  <si>
    <t>Luxembourg</t>
  </si>
  <si>
    <t>Slovenia</t>
  </si>
  <si>
    <t>Australia</t>
  </si>
  <si>
    <t>Croatia</t>
  </si>
  <si>
    <t>Armenia</t>
  </si>
  <si>
    <t>Cuba</t>
  </si>
  <si>
    <t>Mali</t>
  </si>
  <si>
    <t>DRC</t>
  </si>
  <si>
    <t>Somalia</t>
  </si>
  <si>
    <t>Estonia</t>
  </si>
  <si>
    <t>Lithuania</t>
  </si>
  <si>
    <t>Niger</t>
  </si>
  <si>
    <t>Chad</t>
  </si>
  <si>
    <t>Guatemala</t>
  </si>
  <si>
    <t>Thailand</t>
  </si>
  <si>
    <t>Azerbaijan</t>
  </si>
  <si>
    <t>Kenya</t>
  </si>
  <si>
    <t>Burkina Faso</t>
  </si>
  <si>
    <t>Andorra</t>
  </si>
  <si>
    <t>Yemen</t>
  </si>
  <si>
    <t>Tunisia</t>
  </si>
  <si>
    <t>Tajikistan</t>
  </si>
  <si>
    <t>Channel Islands</t>
  </si>
  <si>
    <t>Sierra Leone</t>
  </si>
  <si>
    <t>San Marino</t>
  </si>
  <si>
    <t>Kazakhstan</t>
  </si>
  <si>
    <t>Oman</t>
  </si>
  <si>
    <t>Senegal</t>
  </si>
  <si>
    <t>El Salvador</t>
  </si>
  <si>
    <t>Nicaragua</t>
  </si>
  <si>
    <t>Ghana</t>
  </si>
  <si>
    <t>Albania</t>
  </si>
  <si>
    <t>Haiti</t>
  </si>
  <si>
    <t>Ivory Coast</t>
  </si>
  <si>
    <t>Qatar</t>
  </si>
  <si>
    <t>Slovakia</t>
  </si>
  <si>
    <t>Lebanon</t>
  </si>
  <si>
    <t>Liberia</t>
  </si>
  <si>
    <t>Isle of Man</t>
  </si>
  <si>
    <t>Singapore</t>
  </si>
  <si>
    <t>Latvia</t>
  </si>
  <si>
    <t>Uruguay</t>
  </si>
  <si>
    <t>New Zealand</t>
  </si>
  <si>
    <t>Tanzania</t>
  </si>
  <si>
    <t>Guinea</t>
  </si>
  <si>
    <t>Mayotte</t>
  </si>
  <si>
    <t>Cyprus</t>
  </si>
  <si>
    <t>Kyrgyzstan</t>
  </si>
  <si>
    <t>Congo</t>
  </si>
  <si>
    <t>Sint Maarten</t>
  </si>
  <si>
    <t>Bahrain</t>
  </si>
  <si>
    <t>Uzbekistan</t>
  </si>
  <si>
    <t>Djibouti</t>
  </si>
  <si>
    <t>Gabon</t>
  </si>
  <si>
    <t>Martinique</t>
  </si>
  <si>
    <t>Guadeloupe</t>
  </si>
  <si>
    <t>Diamond Princess</t>
  </si>
  <si>
    <t>Togo</t>
  </si>
  <si>
    <t>Mauritania</t>
  </si>
  <si>
    <t>Equatorial Guinea</t>
  </si>
  <si>
    <t>Georgia</t>
  </si>
  <si>
    <t>Sao Tome and Principe</t>
  </si>
  <si>
    <t>Venezuela</t>
  </si>
  <si>
    <t>Paraguay</t>
  </si>
  <si>
    <t>Guyana</t>
  </si>
  <si>
    <t>Bahamas</t>
  </si>
  <si>
    <t>Iceland</t>
  </si>
  <si>
    <t>Sri Lanka</t>
  </si>
  <si>
    <t>Costa Rica</t>
  </si>
  <si>
    <t>Mauritius</t>
  </si>
  <si>
    <t>Jordan</t>
  </si>
  <si>
    <t>Jamaica</t>
  </si>
  <si>
    <t>Montenegro</t>
  </si>
  <si>
    <t>Bermuda</t>
  </si>
  <si>
    <t>South Sudan</t>
  </si>
  <si>
    <t>Trinidad and Tobago</t>
  </si>
  <si>
    <t>Guinea-Bissau</t>
  </si>
  <si>
    <t>Zambia</t>
  </si>
  <si>
    <t>Taiwan</t>
  </si>
  <si>
    <t>Barbados</t>
  </si>
  <si>
    <t>Ethiopia</t>
  </si>
  <si>
    <t>Malta</t>
  </si>
  <si>
    <t>Myanmar</t>
  </si>
  <si>
    <t>Maldives</t>
  </si>
  <si>
    <t>Hong Kong</t>
  </si>
  <si>
    <t>Nepal</t>
  </si>
  <si>
    <t>Cabo Verde</t>
  </si>
  <si>
    <t>Syria</t>
  </si>
  <si>
    <t>Malawi</t>
  </si>
  <si>
    <t>Monaco</t>
  </si>
  <si>
    <t>Angola</t>
  </si>
  <si>
    <t>Zimbabwe</t>
  </si>
  <si>
    <t>Palestine</t>
  </si>
  <si>
    <t>Benin</t>
  </si>
  <si>
    <t>Aruba</t>
  </si>
  <si>
    <t>Libya</t>
  </si>
  <si>
    <t>Saint Martin</t>
  </si>
  <si>
    <t>Antigua and Barbuda</t>
  </si>
  <si>
    <t>Madagascar</t>
  </si>
  <si>
    <t>Eswatini</t>
  </si>
  <si>
    <t>Belize</t>
  </si>
  <si>
    <t>MS Zaandam</t>
  </si>
  <si>
    <t>CAR</t>
  </si>
  <si>
    <t>Reunion</t>
  </si>
  <si>
    <t>French Guiana</t>
  </si>
  <si>
    <t>Mozambique</t>
  </si>
  <si>
    <t>Brunei</t>
  </si>
  <si>
    <t>Cayman Islands</t>
  </si>
  <si>
    <t>Comoros</t>
  </si>
  <si>
    <t>Liechtenstein</t>
  </si>
  <si>
    <t>Burundi</t>
  </si>
  <si>
    <t>Botswana</t>
  </si>
  <si>
    <t>Gambia</t>
  </si>
  <si>
    <t>CuraÃ§ao</t>
  </si>
  <si>
    <t>Turks and Caicos</t>
  </si>
  <si>
    <t>Montserrat</t>
  </si>
  <si>
    <t>Suriname</t>
  </si>
  <si>
    <t>Western Sahara</t>
  </si>
  <si>
    <t>British Virgin Islands</t>
  </si>
  <si>
    <t>Rwanda</t>
  </si>
  <si>
    <t>Vietnam</t>
  </si>
  <si>
    <t>Uganda</t>
  </si>
  <si>
    <t>Faeroe Islands</t>
  </si>
  <si>
    <t>Gibraltar</t>
  </si>
  <si>
    <t>Mongolia</t>
  </si>
  <si>
    <t>Cambodia</t>
  </si>
  <si>
    <t>French Polynesia</t>
  </si>
  <si>
    <t>Macao</t>
  </si>
  <si>
    <t>Eritrea</t>
  </si>
  <si>
    <t>Bhutan</t>
  </si>
  <si>
    <t>Timor-Leste</t>
  </si>
  <si>
    <t>Grenada</t>
  </si>
  <si>
    <t>Namibia</t>
  </si>
  <si>
    <t>Laos</t>
  </si>
  <si>
    <t>Fiji</t>
  </si>
  <si>
    <t>New Caledonia</t>
  </si>
  <si>
    <t>Saint Lucia</t>
  </si>
  <si>
    <t>St. Vincent Grenadines</t>
  </si>
  <si>
    <t>Dominica</t>
  </si>
  <si>
    <t>Saint Kitts and Nevis</t>
  </si>
  <si>
    <t>Falkland Islands</t>
  </si>
  <si>
    <t>Greenland</t>
  </si>
  <si>
    <t>Vatican City</t>
  </si>
  <si>
    <t>Seychelles</t>
  </si>
  <si>
    <t>Papua New Guinea</t>
  </si>
  <si>
    <t>Caribbean Netherlands</t>
  </si>
  <si>
    <t>St. Barth</t>
  </si>
  <si>
    <t>Anguilla</t>
  </si>
  <si>
    <t>Lesotho</t>
  </si>
  <si>
    <t>Saint Pierre Miquelon</t>
  </si>
  <si>
    <t>Total:</t>
  </si>
  <si>
    <t>The US is geographically very diverse. Examining the numbers by state may offer some insights. For example, Hawaii always has trade winds and perhaps people tend to live outside rather than in enclosed office buildings. As an island(s) state the culture may be more sensitive to pandemics and they may have a very effective virus mitigation plan.</t>
  </si>
  <si>
    <t>It is possible that as an extremely high technology society they may have a very effective virus mitigation action plan.</t>
  </si>
  <si>
    <t>May 26, 2020 PM REF: Worldmeters</t>
  </si>
  <si>
    <t>Decontamination Architecture Approaches and System Settings</t>
  </si>
  <si>
    <t>No</t>
  </si>
  <si>
    <t>Architecture Elements</t>
  </si>
  <si>
    <t>(slang term is bag of tricks taken from safety and security communities)</t>
  </si>
  <si>
    <t>A</t>
  </si>
  <si>
    <t>Schools</t>
  </si>
  <si>
    <t>B</t>
  </si>
  <si>
    <t>Malls</t>
  </si>
  <si>
    <t>Airports</t>
  </si>
  <si>
    <t>C</t>
  </si>
  <si>
    <t>Small</t>
  </si>
  <si>
    <t>Office</t>
  </si>
  <si>
    <t>D</t>
  </si>
  <si>
    <t>Restaurants</t>
  </si>
  <si>
    <t>Stores</t>
  </si>
  <si>
    <t>E</t>
  </si>
  <si>
    <t>Shared</t>
  </si>
  <si>
    <t>Living</t>
  </si>
  <si>
    <t>F</t>
  </si>
  <si>
    <t>Houses</t>
  </si>
  <si>
    <t>G</t>
  </si>
  <si>
    <t>Computer</t>
  </si>
  <si>
    <t>Labs</t>
  </si>
  <si>
    <t>H</t>
  </si>
  <si>
    <t>Public</t>
  </si>
  <si>
    <t>Transit</t>
  </si>
  <si>
    <t>I</t>
  </si>
  <si>
    <t>City</t>
  </si>
  <si>
    <t>J</t>
  </si>
  <si>
    <t>Hospitals</t>
  </si>
  <si>
    <t>K</t>
  </si>
  <si>
    <t>Military</t>
  </si>
  <si>
    <t>Physical Containment Approaches</t>
  </si>
  <si>
    <t>Physical separation (e.g. 6 foot)</t>
  </si>
  <si>
    <t>X</t>
  </si>
  <si>
    <t>Group people together to minimize cross contamination</t>
  </si>
  <si>
    <t>Personal space physical barriers (plexiglass)</t>
  </si>
  <si>
    <t>Masks</t>
  </si>
  <si>
    <t>Smocks</t>
  </si>
  <si>
    <t>teacher</t>
  </si>
  <si>
    <t>driver</t>
  </si>
  <si>
    <t>Full body personal protection equipment (PPE)</t>
  </si>
  <si>
    <t>Hazmat suits</t>
  </si>
  <si>
    <t>Emergency stretcher patient containment structure</t>
  </si>
  <si>
    <t>Decontamination Approaches</t>
  </si>
  <si>
    <t>Personal Commercial Disinfectant Wipes (event driven)</t>
  </si>
  <si>
    <t>exists</t>
  </si>
  <si>
    <t>Personal Commercial Disinfectant Spray (event driven)</t>
  </si>
  <si>
    <t>Janitorial Cleaning of Office Spaces using commercial disinfectants (cyclic)</t>
  </si>
  <si>
    <t>Janitorial Cleaning of High Touch surfaces multiple times per day</t>
  </si>
  <si>
    <t>(handrails, elevator buttons, seating, equipment)</t>
  </si>
  <si>
    <t>Special Cleaning of COVID-19 suspected or tested positive</t>
  </si>
  <si>
    <t>-</t>
  </si>
  <si>
    <t>Shoe disinfecting mats at building entrances</t>
  </si>
  <si>
    <t>goal</t>
  </si>
  <si>
    <t>unknown</t>
  </si>
  <si>
    <t>Fresh water disinfecting sinks at building entries</t>
  </si>
  <si>
    <t>Elevator foot controls</t>
  </si>
  <si>
    <t> X</t>
  </si>
  <si>
    <t>Disposable wipes at key locations</t>
  </si>
  <si>
    <t>Hand sanitizers at key locations</t>
  </si>
  <si>
    <t>Touch surface cleaned after each use</t>
  </si>
  <si>
    <t>Event Driven Hydrogen Peroxide spot spraying</t>
  </si>
  <si>
    <t>X new</t>
  </si>
  <si>
    <t>Cyclic Hydrogen Peroxide total space spraying</t>
  </si>
  <si>
    <t>Event Driven UV spot space exposure</t>
  </si>
  <si>
    <t>Cyclic UV total space exposure</t>
  </si>
  <si>
    <t>Hydrogen Peroxide building entry spraying as people enter</t>
  </si>
  <si>
    <t>UV building entry when people are not present</t>
  </si>
  <si>
    <t>UV upper room placement (in restrooms, etc)</t>
  </si>
  <si>
    <t>HVAC Systems Hydrogen Peroxide Distribution</t>
  </si>
  <si>
    <t>HVAC Systems Massive Internal UV Exposure</t>
  </si>
  <si>
    <t>HVAC Systems copper / nickle air distribution placements</t>
  </si>
  <si>
    <t>HVAC Positive and or Negative Pressure Delivery</t>
  </si>
  <si>
    <t>HVAC Total Air Exchange every 15 minutes</t>
  </si>
  <si>
    <t>HVAC Virus Filters and Frequent Replacement</t>
  </si>
  <si>
    <t>Proper Air Ventilation</t>
  </si>
  <si>
    <t>Hydrogen Peroxide Delivery Systems</t>
  </si>
  <si>
    <t>Personal Room Vaporizers (uncontrolled levels)</t>
  </si>
  <si>
    <t>maybe</t>
  </si>
  <si>
    <t>Room Dehumidifiers (uncontrolled levels)</t>
  </si>
  <si>
    <t>Cold Foggers Handheld</t>
  </si>
  <si>
    <t>Commercial Hydrogen Generators (monitored &amp; controlled levels)</t>
  </si>
  <si>
    <t>Measurement Systems</t>
  </si>
  <si>
    <t>Hydrogen Peroxide Passive measurement</t>
  </si>
  <si>
    <t>Hydrogen Peroxide Closed loop measurement and control system</t>
  </si>
  <si>
    <t>UV Passive measurement</t>
  </si>
  <si>
    <t>UV Closed loop measurement and control system</t>
  </si>
  <si>
    <t>Reporting</t>
  </si>
  <si>
    <t>Internal Users Based</t>
  </si>
  <si>
    <t>External Third Party</t>
  </si>
  <si>
    <t>Screening</t>
  </si>
  <si>
    <t>COVID-19 Testing and Isolation</t>
  </si>
  <si>
    <t>Temperature Check</t>
  </si>
  <si>
    <t>Oxygen Level Check</t>
  </si>
  <si>
    <t>Cell Phone Contact Tracing and Crowd History (China)</t>
  </si>
  <si>
    <t>Home Protocol</t>
  </si>
  <si>
    <t>COVID-19 Health care worker</t>
  </si>
  <si>
    <t>Non-COVID-19 Health care worker</t>
  </si>
  <si>
    <t>Retail worker</t>
  </si>
  <si>
    <t>N/A</t>
  </si>
  <si>
    <t>Office worker</t>
  </si>
  <si>
    <t>Outdoor worker city</t>
  </si>
  <si>
    <t>Outdoor worker non-city</t>
  </si>
  <si>
    <t>Retail shopper</t>
  </si>
  <si>
    <t>Mail order shopper</t>
  </si>
  <si>
    <r>
      <t>Note 1: The UV approach requires failsafe management because it will destroy material and harm people.</t>
    </r>
    <r>
      <rPr>
        <sz val="11"/>
        <color theme="1"/>
        <rFont val="Calibri"/>
        <family val="2"/>
        <scheme val="minor"/>
      </rPr>
      <t xml:space="preserve"> Used within an HVAC system it is within a safe boundary. EPA Test Results: Biological Inactivation Efficiency By HVAC In-Duct Ultraviolet Light Systems (EPA 600/R-06/054) local This is a viable technology that every commercial building can immediately adopt. Its advantage over sophisticated filtration systems are simple maintenance with no operator maintenance issues. Sophisticated filtration systems only work when properly maintained.</t>
    </r>
  </si>
  <si>
    <r>
      <t xml:space="preserve">Note 2: Air Ventilation - Ventilating. </t>
    </r>
    <r>
      <rPr>
        <sz val="11"/>
        <color theme="1"/>
        <rFont val="Calibri"/>
        <family val="2"/>
        <scheme val="minor"/>
      </rPr>
      <t>Adequate ventilation shall be assured by introducing fresh air into any personnel enclosure. If the enclosure volume is 4.25 m3 (150 ft3) or less per person, a minimum of 0.85 m3 (30 ft3) of ventilation air per minute shall be introduced into the enclosure; approximately two-thirds should be outdoor air. For larger enclosures, the air supply per person may be in accordance with the curves in Figure 35. Air shall be moved past personnel at a velocity not more than 60 m (200 ft) per minute. Ventilation or other protective measures shall be provided to keep gases, vapors, dust, and fumes within the Permissible Exposure Limits specified by 29 CFR 1910 and the limits specified in the American Conference of Governmental Industrial Hygienists Threshold Limit Values. Intakes for ventilation systems shall be located to minimize the introduction of contaminated air from such sources as exhaust pipes. (See 5.12.6.2 for vehicle ventilation provisions.) - MIL-STD-1472. There are also OSHA regulations.</t>
    </r>
  </si>
  <si>
    <t>Protocol Item</t>
  </si>
  <si>
    <t>A.</t>
  </si>
  <si>
    <t>COVID-19</t>
  </si>
  <si>
    <t>Health Care Worker</t>
  </si>
  <si>
    <t>B.</t>
  </si>
  <si>
    <t>Non-COVID-19</t>
  </si>
  <si>
    <t>C.</t>
  </si>
  <si>
    <t>Retail</t>
  </si>
  <si>
    <t>Worker</t>
  </si>
  <si>
    <t>D.</t>
  </si>
  <si>
    <t>E.</t>
  </si>
  <si>
    <t>Outdoor</t>
  </si>
  <si>
    <t>Worker City</t>
  </si>
  <si>
    <t>F.</t>
  </si>
  <si>
    <t>Outdoor Worker</t>
  </si>
  <si>
    <t>Non-City</t>
  </si>
  <si>
    <t>G.</t>
  </si>
  <si>
    <t>Shopper</t>
  </si>
  <si>
    <t>H.</t>
  </si>
  <si>
    <t>Mail Order</t>
  </si>
  <si>
    <t>Live outside the physical home</t>
  </si>
  <si>
    <t> X China</t>
  </si>
  <si>
    <t>Disinfect vehicle upon home arrival</t>
  </si>
  <si>
    <t>Disinfect shoes and leave in space outside living area</t>
  </si>
  <si>
    <t>Remove all clothes, place in washer</t>
  </si>
  <si>
    <t>Remove gloves, masks, dispose</t>
  </si>
  <si>
    <t>Immediately go take shower</t>
  </si>
  <si>
    <t>Place boxes outside in daylight for 24 hours</t>
  </si>
  <si>
    <t>still need to open</t>
  </si>
  <si>
    <t>Disinfect hands prior to handling</t>
  </si>
  <si>
    <t>Disinfect all bags and boxes</t>
  </si>
  <si>
    <t>Disinfect all items</t>
  </si>
  <si>
    <t>Isolate all disinfected bags and boxes to throw away</t>
  </si>
  <si>
    <t>Remove gloves and mask</t>
  </si>
  <si>
    <t>Disinfect hands after handling</t>
  </si>
  <si>
    <t>Wash hands after handling</t>
  </si>
  <si>
    <t>Bio Event</t>
  </si>
  <si>
    <t>Droplets</t>
  </si>
  <si>
    <t>Virus Load</t>
  </si>
  <si>
    <t>(count)</t>
  </si>
  <si>
    <t>Speed</t>
  </si>
  <si>
    <t>(miles/hour)</t>
  </si>
  <si>
    <t>Comment</t>
  </si>
  <si>
    <t>References</t>
  </si>
  <si>
    <t>Cough</t>
  </si>
  <si>
    <t>none</t>
  </si>
  <si>
    <t>Most droplets are large, and fall quickly (gravity), but many do stay in the air and can travel across a room in a few seconds.</t>
  </si>
  <si>
    <t>NIH . WHO PDF  </t>
  </si>
  <si>
    <t>Sneeze</t>
  </si>
  <si>
    <t>Most droplets are small and travel great distances (easily across a room).</t>
  </si>
  <si>
    <t>NIH . WHO PDF . Livescience</t>
  </si>
  <si>
    <t>Infected Cough or Sneeze</t>
  </si>
  <si>
    <t>some % of 200 million</t>
  </si>
  <si>
    <t>50 - 200</t>
  </si>
  <si>
    <t>Dispersed into the environment. Cough and sneeze droplets have huge concentrations of viral material.</t>
  </si>
  <si>
    <t>Single Breath</t>
  </si>
  <si>
    <t>50 - 5000</t>
  </si>
  <si>
    <t>Low</t>
  </si>
  <si>
    <t>Most droplets are low velocity and quickly fall to the ground. There are even fewer droplets released through nose-breathing. Viral particles from the lower respiratory areas are not likely to be expelled because of small of the small force with a breath.</t>
  </si>
  <si>
    <t>Journal Of Hospital Infection</t>
  </si>
  <si>
    <t>Infected Single Breath</t>
  </si>
  <si>
    <t>Respiratory droplets released from breathing have a low concentration of virus. Influenza can be used as a starting point until the COVID-19 studies are complete. A person infected with influenza releases about 3 - 20 virus RNA copies per minute of breathing.</t>
  </si>
  <si>
    <t>NIH . PDF</t>
  </si>
  <si>
    <t>Speaking</t>
  </si>
  <si>
    <t>Increases the release of respiratory droplets about 10 times over breathing.</t>
  </si>
  <si>
    <t>Bathroom</t>
  </si>
  <si>
    <t>High</t>
  </si>
  <si>
    <t>Bathrooms have a  many high touch surfaces, door handles, faucets, stall doors. Fomite transfer risk in this environment is high.</t>
  </si>
  <si>
    <t>We still do not know whether a person releases infectious material in feces or just fragmented virus, but we do know that toilet flushing does aerosolize many droplets. Environmental biologists at the University of Stirling have warned that the potential spread of COVID-19 via sewage "must not be neglected" in the battle to protect human health [Science Daily].</t>
  </si>
  <si>
    <t>We know from studies in China that the virus is found in feces and raw sewage, Handbook of COVID-19 Prevention and Treatment, 3/19/2020, 3/24/2020 revised. From the report:</t>
  </si>
  <si>
    <t>"2.4 Disposal of Fecal Matter and Sewage.</t>
  </si>
  <si>
    <t xml:space="preserve">(1) Before being discharged into the municipal drainage system, fecal matter and sewage must be disinfected by treating with chlorine-containing disinfectant (for the initial treatment, the active chlorine must be more than 40 mg/L). Make sure the disinfection time is at least 1.5 hours; </t>
  </si>
  <si>
    <t>(2) The concentration of total residual chlorine in the disinfected sewage should reach 10 mg/L."</t>
  </si>
  <si>
    <t>Also found at: U.S. Department of Health &amp; Human Services and ALSGBI Association of Laparoscopic Surgeons / Society of Minimally Invasive General Surgeons (SMIGS) / British Surgical Stapling Group (BSSG)</t>
  </si>
  <si>
    <t>other references: A Bathroom</t>
  </si>
  <si>
    <t>Science Daily</t>
  </si>
  <si>
    <t>Handbook of COVID-19 Prevention and Treatment . U.S. Department of Health &amp; Human Services . ALSGBI</t>
  </si>
  <si>
    <t>Nature</t>
  </si>
  <si>
    <t>A mental model can be developed using the MERS and SARS studies suggesting 1000 virus particles. The mental model can show how infection happens under different scenarios. In the model assume infection occurs with 1000 viral particles received in one breath or from one eye-rub. Alternatively assume 100 viral particles inhaled with each breath over 10 breaths, or 10 viral particles with 100 breaths. In the model each of these situations can lead to an infection. Now run the different scenarios.</t>
  </si>
  <si>
    <r>
      <t xml:space="preserve">There is a relationship between exposure to the virus and time: </t>
    </r>
    <r>
      <rPr>
        <b/>
        <sz val="11"/>
        <color theme="1"/>
        <rFont val="Calibri"/>
        <family val="2"/>
        <scheme val="minor"/>
      </rPr>
      <t>Infection Prediction = Virus Load * Time</t>
    </r>
    <r>
      <rPr>
        <sz val="11"/>
        <color theme="1"/>
        <rFont val="Calibri"/>
        <family val="2"/>
        <scheme val="minor"/>
      </rPr>
      <t xml:space="preserve"> where virus load is associated with the number of droplets released by an infected person.</t>
    </r>
  </si>
  <si>
    <t>If an infected person coughs or sneezes 200,000,000 droplets go everywhere and most of the droplets have the virus. Some viruses hang in the air, some falls onto surfaces, most fall to the ground within a few hours unless there is some mechanical air movement and displacement.</t>
  </si>
  <si>
    <t>Model Run Scenario 1 Cough or Sneeze in Room: If an infected person coughs or sneezes, some infected droplets can hang in the air for a few minutes filling every corner of a room. A 20 x 20 x 10 foot room is 4000 cubic feet. This results in 50,000 droplets per cubic foot. When someone enters the room, it's easy to see how it is possible to inhale 1,000 virus particles and become infected.</t>
  </si>
  <si>
    <t>Model Run Scenario 2 Cough or Sneeze in Face: During a face-to-face a conversation, if an infected person sneezes or coughs, it's easy to see how it is possible to inhale 1,000 virus particles and become infected.</t>
  </si>
  <si>
    <t>Model Run Scenario 3 Breathing: With general breathing 20 viruses per minute into a room would require 50 minutes to be exposed to 1000 viruses.</t>
  </si>
  <si>
    <t>Model Run Scenario 4 Speaking: Assuming every virus is inhaled, it would take 5 minutes of speaking face-to-face to receive the required dose for infection.</t>
  </si>
  <si>
    <t>Model Run Scenario 5 Bathroom: Treat public bathrooms with extra caution (surface and air).</t>
  </si>
  <si>
    <t>Model Results</t>
  </si>
  <si>
    <r>
      <t xml:space="preserve">The formula </t>
    </r>
    <r>
      <rPr>
        <b/>
        <sz val="11"/>
        <color theme="1"/>
        <rFont val="Calibri"/>
        <family val="2"/>
        <scheme val="minor"/>
      </rPr>
      <t>Infection Prediction = Virus Load * Time</t>
    </r>
    <r>
      <rPr>
        <sz val="11"/>
        <color theme="1"/>
        <rFont val="Calibri"/>
        <family val="2"/>
        <scheme val="minor"/>
      </rPr>
      <t xml:space="preserve"> is the basis of contact tracing.</t>
    </r>
  </si>
  <si>
    <t>Anyone that spends greater than 10 minutes with an infected person in a face-to-face setting is likely to get infected.</t>
  </si>
  <si>
    <t>Anyone that shares a space (office) with an infected person for an extended period is likely to get infected.</t>
  </si>
  <si>
    <t>It is critical for people who are symptomatic to stay home.</t>
  </si>
  <si>
    <t>Sneezes and coughs expel so much virus that they can infect a whole room of people.</t>
  </si>
  <si>
    <t>The next step is to try and find case histories to see if this mental model is reasonable.</t>
  </si>
  <si>
    <t>Return to Life Systems empirical data</t>
  </si>
  <si>
    <t>Male</t>
  </si>
  <si>
    <t>Female</t>
  </si>
  <si>
    <t>Total lung capacity (Liters)</t>
  </si>
  <si>
    <t>Total lung capacity (cu in)</t>
  </si>
  <si>
    <t>Total lung capacity (cu ft)</t>
  </si>
  <si>
    <t>Infection Level (droplets)</t>
  </si>
  <si>
    <t>Room size needed (ft X ft)</t>
  </si>
  <si>
    <t>Infected Sneeze/cu ft (droplets)</t>
  </si>
  <si>
    <t>volume needed for infection level (cu ft)</t>
  </si>
  <si>
    <t>Uniform droplet dispersion</t>
  </si>
  <si>
    <t>Infected Sneeze (droplets)</t>
  </si>
  <si>
    <t>Assumptions &amp; Comments</t>
  </si>
  <si>
    <t>Assumption</t>
  </si>
  <si>
    <t>Room Ceiling Level (ft)</t>
  </si>
  <si>
    <t>1 yr.+</t>
  </si>
  <si>
    <t>Summer</t>
  </si>
  <si>
    <t>Fall</t>
  </si>
  <si>
    <t>Winter</t>
  </si>
  <si>
    <t>Next spring</t>
  </si>
  <si>
    <t>+1 year</t>
  </si>
  <si>
    <t>School, camp and day care</t>
  </si>
  <si>
    <t>Never</t>
  </si>
  <si>
    <t>sporting events, concerts and plays</t>
  </si>
  <si>
    <r>
      <t>hugs and handshakes</t>
    </r>
    <r>
      <rPr>
        <sz val="12"/>
        <color theme="1"/>
        <rFont val="Times New Roman"/>
        <family val="1"/>
      </rPr>
      <t xml:space="preserve"> </t>
    </r>
  </si>
  <si>
    <t>weddings and funerals</t>
  </si>
  <si>
    <t>Airplanes</t>
  </si>
  <si>
    <r>
      <t>meetings with new people</t>
    </r>
    <r>
      <rPr>
        <sz val="12"/>
        <color theme="1"/>
        <rFont val="Times New Roman"/>
        <family val="1"/>
      </rPr>
      <t xml:space="preserve"> </t>
    </r>
  </si>
  <si>
    <r>
      <t>stop wearing masks</t>
    </r>
    <r>
      <rPr>
        <sz val="12"/>
        <color theme="1"/>
        <rFont val="Times New Roman"/>
        <family val="1"/>
      </rPr>
      <t xml:space="preserve"> </t>
    </r>
  </si>
  <si>
    <t>visiting the elderly</t>
  </si>
  <si>
    <t>Spring</t>
  </si>
  <si>
    <t>Fall Winter</t>
  </si>
  <si>
    <t>1+ yr</t>
  </si>
  <si>
    <t>.04 was &lt;1</t>
  </si>
  <si>
    <t>3-12 mos.</t>
  </si>
  <si>
    <t>Spring 21</t>
  </si>
  <si>
    <t xml:space="preserve">Bring in mail without precautions  </t>
  </si>
  <si>
    <t xml:space="preserve">See a doctor for a nonurgent appointment </t>
  </si>
  <si>
    <t xml:space="preserve">Vacation overnight within driving distance </t>
  </si>
  <si>
    <t xml:space="preserve">Get a haircut at a salon or barber shop </t>
  </si>
  <si>
    <t xml:space="preserve">Attend a small dinner party  </t>
  </si>
  <si>
    <t xml:space="preserve">Hike or picnic outdoors with friends </t>
  </si>
  <si>
    <t xml:space="preserve">Send kids to school, camp or day care </t>
  </si>
  <si>
    <t xml:space="preserve">Work in a shared office </t>
  </si>
  <si>
    <t xml:space="preserve">Send children on play dates </t>
  </si>
  <si>
    <t xml:space="preserve">Ride a subway or a bus </t>
  </si>
  <si>
    <t xml:space="preserve">Visit elderly relative or friend in their home </t>
  </si>
  <si>
    <t xml:space="preserve">Travel by airplane </t>
  </si>
  <si>
    <t xml:space="preserve">Eat at a dine-in restaurant </t>
  </si>
  <si>
    <t xml:space="preserve">Exercise at a gym or fitness studio </t>
  </si>
  <si>
    <t xml:space="preserve">Attend a wedding or a funeral  </t>
  </si>
  <si>
    <t xml:space="preserve">Hug or shake hands when greeting a friend </t>
  </si>
  <si>
    <t xml:space="preserve">Go out with someone you don't know well </t>
  </si>
  <si>
    <t xml:space="preserve">Attend a church or other religious service </t>
  </si>
  <si>
    <t xml:space="preserve">Stop routinely wearing a face covering </t>
  </si>
  <si>
    <t xml:space="preserve">Attend a sporting event, concert or play </t>
  </si>
  <si>
    <t>Ref for survey: When 511 Epidemiologists Expect to Fly, Hug and Do 18 Other Everyday Activities Again
NYT, By Margot Sanger-Katz, Claire Cain Miller and Quoctrung Bui June 8, 2020.</t>
  </si>
  <si>
    <t>Relative Risk Assessment Based On Survey Findings.</t>
  </si>
  <si>
    <t>Survey Results</t>
  </si>
  <si>
    <t>Event</t>
  </si>
  <si>
    <t>Risk Level</t>
  </si>
  <si>
    <t>Comfort Level</t>
  </si>
  <si>
    <t>Infected Dose Received (seconds)</t>
  </si>
  <si>
    <t>Infected Dose Received (breaths)</t>
  </si>
  <si>
    <t>Droplets do not fall to ground</t>
  </si>
  <si>
    <t>Cough (droplets)</t>
  </si>
  <si>
    <t>Infected Single Breath (virus load)</t>
  </si>
  <si>
    <t>Assumption same as virus load</t>
  </si>
  <si>
    <t>It is not possible to protect against a cough</t>
  </si>
  <si>
    <t>Seconds Needed to Reach Virus Load</t>
  </si>
  <si>
    <t>Possible but very high</t>
  </si>
  <si>
    <t>Required Air Exchanges (per hour)</t>
  </si>
  <si>
    <t>Possible but still high</t>
  </si>
  <si>
    <t>Coughs / Event</t>
  </si>
  <si>
    <t>Cough Events / Hour</t>
  </si>
  <si>
    <t>Total Coughs / Hour</t>
  </si>
  <si>
    <t>Infected Droplets / Hour</t>
  </si>
  <si>
    <t>Required Air Exchanges / Hour</t>
  </si>
  <si>
    <t>Breaths / Second</t>
  </si>
  <si>
    <t>Infection percentage</t>
  </si>
  <si>
    <t>Sneeze (droplets)</t>
  </si>
  <si>
    <t>Sneeze / Event</t>
  </si>
  <si>
    <t>Sneeze Events / Hour</t>
  </si>
  <si>
    <t>Total Sneeze / Hour</t>
  </si>
  <si>
    <t>Room  size needed</t>
  </si>
  <si>
    <t>Air exchanges needed</t>
  </si>
  <si>
    <t>Not possible</t>
  </si>
  <si>
    <t>Analysis 2 - Virus Load Based</t>
  </si>
  <si>
    <t>Analysis 3 - Event Based</t>
  </si>
  <si>
    <t>Number of People</t>
  </si>
  <si>
    <t>Potential Infection Exposure (min)</t>
  </si>
  <si>
    <t>Time before air is exchanged</t>
  </si>
  <si>
    <t>Coughs or Sneeze / Event</t>
  </si>
  <si>
    <t>Coughs or Sneeze Events / Hour</t>
  </si>
  <si>
    <t>Decreases with air exchange</t>
  </si>
  <si>
    <t>Exchanges / Hour</t>
  </si>
  <si>
    <t>Breaths / Hour</t>
  </si>
  <si>
    <t>Person</t>
  </si>
  <si>
    <t>Analysis 1 - Droplet Density Analysis</t>
  </si>
  <si>
    <t>Analysis Approaches</t>
  </si>
  <si>
    <t>Breaths / Infection Threshold</t>
  </si>
  <si>
    <t>Probability of Infection</t>
  </si>
  <si>
    <t>Seconds / Infection Threshold</t>
  </si>
  <si>
    <t>Room Virus Load</t>
  </si>
  <si>
    <t>Infection Virus Load</t>
  </si>
  <si>
    <t>Area</t>
  </si>
  <si>
    <t>ACH min</t>
  </si>
  <si>
    <t>ACH max</t>
  </si>
  <si>
    <t>Avg</t>
  </si>
  <si>
    <t>Source</t>
  </si>
  <si>
    <t>Assembly Hall</t>
  </si>
  <si>
    <t>Attic</t>
  </si>
  <si>
    <t>Auditorium</t>
  </si>
  <si>
    <t>Bakery</t>
  </si>
  <si>
    <t>Bar</t>
  </si>
  <si>
    <t>Barn</t>
  </si>
  <si>
    <t>Boiler Room</t>
  </si>
  <si>
    <t>Bowling Alley</t>
  </si>
  <si>
    <t>Cafeteria</t>
  </si>
  <si>
    <t>Church</t>
  </si>
  <si>
    <t>Classroom</t>
  </si>
  <si>
    <t>Club Room 1</t>
  </si>
  <si>
    <t>Dance Hall</t>
  </si>
  <si>
    <t>Dining Room</t>
  </si>
  <si>
    <t>Dry Cleaner</t>
  </si>
  <si>
    <t>Engine Room</t>
  </si>
  <si>
    <t>Factory</t>
  </si>
  <si>
    <t>Foundry</t>
  </si>
  <si>
    <t>Garage</t>
  </si>
  <si>
    <t>Generator Room</t>
  </si>
  <si>
    <t>Gymnasium</t>
  </si>
  <si>
    <t>Kitchen</t>
  </si>
  <si>
    <t>Laboratory</t>
  </si>
  <si>
    <t>Laundry</t>
  </si>
  <si>
    <t>Machine Shop</t>
  </si>
  <si>
    <t>Mill</t>
  </si>
  <si>
    <t>Packing House</t>
  </si>
  <si>
    <t>Projection Room</t>
  </si>
  <si>
    <t>Recreation Room</t>
  </si>
  <si>
    <t>Residence</t>
  </si>
  <si>
    <t>Restaurant</t>
  </si>
  <si>
    <t>Rest Room</t>
  </si>
  <si>
    <t>Store</t>
  </si>
  <si>
    <t>Transfer Room</t>
  </si>
  <si>
    <t>Warehouse</t>
  </si>
  <si>
    <t>Max</t>
  </si>
  <si>
    <t>Min</t>
  </si>
  <si>
    <t>Basements</t>
  </si>
  <si>
    <t>NCI</t>
  </si>
  <si>
    <t>Bedrooms</t>
  </si>
  <si>
    <t>Bathrooms</t>
  </si>
  <si>
    <t>Family Living Rooms</t>
  </si>
  <si>
    <t>Business Offices</t>
  </si>
  <si>
    <t>Lunch Break Rooms</t>
  </si>
  <si>
    <t>Conference Rooms</t>
  </si>
  <si>
    <t>Medical Procedure Offices</t>
  </si>
  <si>
    <t>Copy Rooms</t>
  </si>
  <si>
    <t>Main Computer Rooms</t>
  </si>
  <si>
    <t>Smoking Area</t>
  </si>
  <si>
    <t>Dining Area</t>
  </si>
  <si>
    <t>Food Staging</t>
  </si>
  <si>
    <t>Public Buildings</t>
  </si>
  <si>
    <t>Hallways</t>
  </si>
  <si>
    <t>Retail Stores</t>
  </si>
  <si>
    <t>Foyers</t>
  </si>
  <si>
    <t>Churches</t>
  </si>
  <si>
    <t>Restrooms</t>
  </si>
  <si>
    <t>Smoking Rooms</t>
  </si>
  <si>
    <t>Attic Ventilation</t>
  </si>
  <si>
    <t>Fan App</t>
  </si>
  <si>
    <t>Auditoriums</t>
  </si>
  <si>
    <t>Banks</t>
  </si>
  <si>
    <t>Battery Charge Room</t>
  </si>
  <si>
    <t>Computer Room</t>
  </si>
  <si>
    <t>Electrical Room</t>
  </si>
  <si>
    <t>Fire Station</t>
  </si>
  <si>
    <t>Garage (Parking)</t>
  </si>
  <si>
    <t>Garage (Repair)</t>
  </si>
  <si>
    <t>Kitchen (General Ventilation)</t>
  </si>
  <si>
    <t>Locker Room</t>
  </si>
  <si>
    <t>Manufacturing (Light)</t>
  </si>
  <si>
    <t>Manufacturing (Heavy)</t>
  </si>
  <si>
    <t>Medical / Dental Office</t>
  </si>
  <si>
    <t>Municipal Buildings</t>
  </si>
  <si>
    <t>Police Station</t>
  </si>
  <si>
    <t>Toilet Room (Residential)</t>
  </si>
  <si>
    <t>Warehouse Ventilation</t>
  </si>
  <si>
    <t>All spaces in general</t>
  </si>
  <si>
    <t>Arcades</t>
  </si>
  <si>
    <t>Assembly halls</t>
  </si>
  <si>
    <t>Attic spaces for cooling</t>
  </si>
  <si>
    <t>Bakeries</t>
  </si>
  <si>
    <t>Bank Vaults</t>
  </si>
  <si>
    <t>Barber Shops</t>
  </si>
  <si>
    <t>Bars</t>
  </si>
  <si>
    <t>Beauty Shops</t>
  </si>
  <si>
    <t>Boiler Rooms</t>
  </si>
  <si>
    <t>Bowling Alleys</t>
  </si>
  <si>
    <t>Cafeterias</t>
  </si>
  <si>
    <t>Casino (nonsmoking)</t>
  </si>
  <si>
    <t>Casino (Smoking)</t>
  </si>
  <si>
    <t>Classrooms (ART)</t>
  </si>
  <si>
    <t>Classrooms (ages 5 and up)</t>
  </si>
  <si>
    <t>Classrooms (science lab)</t>
  </si>
  <si>
    <t>Classrooms (shop classes)</t>
  </si>
  <si>
    <t>Cigar Lounges</t>
  </si>
  <si>
    <t>Club rooms</t>
  </si>
  <si>
    <t>Clubhouses</t>
  </si>
  <si>
    <t>Coin operated dry cleaner</t>
  </si>
  <si>
    <t>Coin operated laundries</t>
  </si>
  <si>
    <t>Cocktail Lounges</t>
  </si>
  <si>
    <t>Computer Rooms</t>
  </si>
  <si>
    <t>Commercial dry cleaner</t>
  </si>
  <si>
    <t>Commercial Laundry</t>
  </si>
  <si>
    <t>Court Houses</t>
  </si>
  <si>
    <t>Day Care (ages up to 4)</t>
  </si>
  <si>
    <t>Dance halls</t>
  </si>
  <si>
    <t>Dental Centers</t>
  </si>
  <si>
    <t>Department Stores</t>
  </si>
  <si>
    <t>Dining Halls</t>
  </si>
  <si>
    <t>Dining rooms (restaurants)</t>
  </si>
  <si>
    <t>Dress Shops</t>
  </si>
  <si>
    <t>Drug Shops</t>
  </si>
  <si>
    <t>Dry Cleaners</t>
  </si>
  <si>
    <t>Engine rooms</t>
  </si>
  <si>
    <t>Factory buildings, ordinary</t>
  </si>
  <si>
    <t>Factory buildings, with fumes or moisture</t>
  </si>
  <si>
    <t>Fast Food</t>
  </si>
  <si>
    <t>Fire Stations</t>
  </si>
  <si>
    <t>Food Processing</t>
  </si>
  <si>
    <t>Foundries</t>
  </si>
  <si>
    <t>Galvanizing plants</t>
  </si>
  <si>
    <t>Garages repair</t>
  </si>
  <si>
    <t>Garages storage</t>
  </si>
  <si>
    <t>Health Club</t>
  </si>
  <si>
    <t>Homes, night cooling</t>
  </si>
  <si>
    <t>Hookah</t>
  </si>
  <si>
    <t>Hospital rooms</t>
  </si>
  <si>
    <t>Kitchens (commercial)</t>
  </si>
  <si>
    <t>Kitchens (residential)</t>
  </si>
  <si>
    <t>Laundries</t>
  </si>
  <si>
    <t>Libraries, public</t>
  </si>
  <si>
    <t>Lunchrooms</t>
  </si>
  <si>
    <t>Luncheonettes</t>
  </si>
  <si>
    <t>Nightclubs</t>
  </si>
  <si>
    <t>Machine shops</t>
  </si>
  <si>
    <t>Meat Processing</t>
  </si>
  <si>
    <t>Medical Centers</t>
  </si>
  <si>
    <t>Medical Clinics</t>
  </si>
  <si>
    <t>Medical Offices</t>
  </si>
  <si>
    <t>Mills, paper</t>
  </si>
  <si>
    <t>Mills, textile general buildings</t>
  </si>
  <si>
    <t>Mills, textile dye houses</t>
  </si>
  <si>
    <t>Money Counting room</t>
  </si>
  <si>
    <t>Museums (Children's)</t>
  </si>
  <si>
    <t>Museums / Galleries</t>
  </si>
  <si>
    <t>Nail Salons</t>
  </si>
  <si>
    <t>Offices, public</t>
  </si>
  <si>
    <t>Offices, private</t>
  </si>
  <si>
    <t>Photo dark rooms</t>
  </si>
  <si>
    <t>Pharmacy Prep</t>
  </si>
  <si>
    <t>Pig houses</t>
  </si>
  <si>
    <t>Pet Shops</t>
  </si>
  <si>
    <t>Photo Studios</t>
  </si>
  <si>
    <t>Police Stations</t>
  </si>
  <si>
    <t>Post Offices</t>
  </si>
  <si>
    <t>Poultry houses</t>
  </si>
  <si>
    <t>Precision Manufacturing</t>
  </si>
  <si>
    <t>Public Retail Stores</t>
  </si>
  <si>
    <t>Pump rooms</t>
  </si>
  <si>
    <t>Residences</t>
  </si>
  <si>
    <t>School Classrooms</t>
  </si>
  <si>
    <t>Shoe Shops</t>
  </si>
  <si>
    <t>Shopping Centers</t>
  </si>
  <si>
    <t>Shops, machine</t>
  </si>
  <si>
    <t>Shops, paint</t>
  </si>
  <si>
    <t>Shops, woodworking</t>
  </si>
  <si>
    <t>Smoking Lounges</t>
  </si>
  <si>
    <t>Substation, electric</t>
  </si>
  <si>
    <t>Supermarkets</t>
  </si>
  <si>
    <t>Swimming pools</t>
  </si>
  <si>
    <t>Town Halls</t>
  </si>
  <si>
    <t>Taverns (nonsmoking)</t>
  </si>
  <si>
    <t>Taverns (Smoking)</t>
  </si>
  <si>
    <t>Theaters</t>
  </si>
  <si>
    <t>Transformer rooms</t>
  </si>
  <si>
    <t>Turbine rooms, electric</t>
  </si>
  <si>
    <t>Vape Shop</t>
  </si>
  <si>
    <t>Warehouses</t>
  </si>
  <si>
    <t>Waiting rooms, public</t>
  </si>
  <si>
    <t>Welding Areas</t>
  </si>
  <si>
    <t xml:space="preserve">Auditorium </t>
  </si>
  <si>
    <t>Eng Tool Box</t>
  </si>
  <si>
    <t xml:space="preserve">Bakeries </t>
  </si>
  <si>
    <t xml:space="preserve">Beauty Shops </t>
  </si>
  <si>
    <t xml:space="preserve">Boiler Rooms </t>
  </si>
  <si>
    <t xml:space="preserve">Classrooms </t>
  </si>
  <si>
    <t xml:space="preserve">Computer Rooms </t>
  </si>
  <si>
    <t xml:space="preserve">Dental Centers </t>
  </si>
  <si>
    <t xml:space="preserve">Garages -Repair </t>
  </si>
  <si>
    <t xml:space="preserve">Hospital Rooms </t>
  </si>
  <si>
    <t xml:space="preserve">Kitchens </t>
  </si>
  <si>
    <t xml:space="preserve">Machine Shops </t>
  </si>
  <si>
    <t xml:space="preserve">Malls </t>
  </si>
  <si>
    <t xml:space="preserve">Municipal Buildings </t>
  </si>
  <si>
    <t xml:space="preserve">Police Stations </t>
  </si>
  <si>
    <t xml:space="preserve">Precision Manufacturing </t>
  </si>
  <si>
    <t xml:space="preserve">Shops, Paint </t>
  </si>
  <si>
    <t xml:space="preserve">Wood Shops </t>
  </si>
  <si>
    <t xml:space="preserve">Theatres </t>
  </si>
  <si>
    <t xml:space="preserve">Warehouses </t>
  </si>
  <si>
    <t xml:space="preserve">Waiting Rooms, Public </t>
  </si>
  <si>
    <t xml:space="preserve">Basement Parking </t>
  </si>
  <si>
    <t>wiki</t>
  </si>
  <si>
    <t xml:space="preserve">Residential Basement </t>
  </si>
  <si>
    <t xml:space="preserve">Bedroom </t>
  </si>
  <si>
    <t xml:space="preserve">Residential Bathroom </t>
  </si>
  <si>
    <t xml:space="preserve">Residential Living Rooms </t>
  </si>
  <si>
    <t xml:space="preserve">Residential Kitchen </t>
  </si>
  <si>
    <t xml:space="preserve">Residential Laundry </t>
  </si>
  <si>
    <t xml:space="preserve">Business Offices </t>
  </si>
  <si>
    <t xml:space="preserve">Business Lunch Break Rooms </t>
  </si>
  <si>
    <t xml:space="preserve">Business Conference Rooms </t>
  </si>
  <si>
    <t xml:space="preserve">Business Copy Rooms </t>
  </si>
  <si>
    <t xml:space="preserve">Restaurant Dining Area </t>
  </si>
  <si>
    <t xml:space="preserve">Restaurant Food Staging Area </t>
  </si>
  <si>
    <t xml:space="preserve">Restaurant Bar </t>
  </si>
  <si>
    <t xml:space="preserve">Public Hallway </t>
  </si>
  <si>
    <t xml:space="preserve">Public Retail Store </t>
  </si>
  <si>
    <t xml:space="preserve">Public Foyer </t>
  </si>
  <si>
    <t xml:space="preserve">Church </t>
  </si>
  <si>
    <t xml:space="preserve">Public Auditorium </t>
  </si>
  <si>
    <t xml:space="preserve">Commercial kitchens &amp; Restrooms </t>
  </si>
  <si>
    <t xml:space="preserve">Smoking rooms </t>
  </si>
  <si>
    <t xml:space="preserve">Laboratories </t>
  </si>
  <si>
    <t xml:space="preserve">Warehousing </t>
  </si>
  <si>
    <t xml:space="preserve">Hospital Operating/surgical cystoscopic rooms </t>
  </si>
  <si>
    <t>CDC</t>
  </si>
  <si>
    <t>Hospital Delivery room</t>
  </si>
  <si>
    <t>Hospital Recovery room</t>
  </si>
  <si>
    <t>Hospital Critical and intensive care</t>
  </si>
  <si>
    <t>Hospital Newborn intensive care</t>
  </si>
  <si>
    <t>Hospital Treatment room</t>
  </si>
  <si>
    <t>Hospital Trauma room</t>
  </si>
  <si>
    <t>Hospital Anesthesia gas storage</t>
  </si>
  <si>
    <t>Hospital Endoscopy</t>
  </si>
  <si>
    <t>Hospital Bronchoscopy</t>
  </si>
  <si>
    <t>Hospital ER waiting rooms</t>
  </si>
  <si>
    <t>Hospital Triage</t>
  </si>
  <si>
    <t>Hospital Radiology waiting rooms</t>
  </si>
  <si>
    <t>Hospital Procedure room</t>
  </si>
  <si>
    <t>Hospital Patient room</t>
  </si>
  <si>
    <t>Hospital Toilet room</t>
  </si>
  <si>
    <t>Hospital Newborn nursery suite</t>
  </si>
  <si>
    <t xml:space="preserve">Hospital Protective environment room </t>
  </si>
  <si>
    <t xml:space="preserve">Hospital Airborne infection isolation room </t>
  </si>
  <si>
    <t xml:space="preserve">Hospital Isolation alcove or anteroom </t>
  </si>
  <si>
    <t>Hospital Labor/delivery/recovery</t>
  </si>
  <si>
    <t>Hospital Labor/delivery/recovery/ postpartum</t>
  </si>
  <si>
    <t>Hospital Patient corridor</t>
  </si>
  <si>
    <t>Hospital X-ray (surgical/critical care and catheterization)</t>
  </si>
  <si>
    <t>Hospital X-ray (diagnostic &amp; treatment)</t>
  </si>
  <si>
    <t>Hospital Darkroom</t>
  </si>
  <si>
    <t>Hospital General</t>
  </si>
  <si>
    <t>Hospital Biochemistry</t>
  </si>
  <si>
    <t>Hospital Cytology</t>
  </si>
  <si>
    <t>Hospital Glass washing</t>
  </si>
  <si>
    <t>Hospital Histology</t>
  </si>
  <si>
    <t>Hospital Microbiology</t>
  </si>
  <si>
    <t>Hospital Nuclear medicine</t>
  </si>
  <si>
    <t>Hospital Pathology</t>
  </si>
  <si>
    <t>Hospital Serology</t>
  </si>
  <si>
    <t>Hospital Sterilizing</t>
  </si>
  <si>
    <t>Hospital Autopsy room</t>
  </si>
  <si>
    <t>Hospital Nonrefrigerated body-holding room</t>
  </si>
  <si>
    <t>Hospital Pharmacy</t>
  </si>
  <si>
    <t>Hospital Examination room</t>
  </si>
  <si>
    <t>Hospital Medication room</t>
  </si>
  <si>
    <t>Hospital Physical therapy and hydrotherapy</t>
  </si>
  <si>
    <t>Hospital Soiled workroom or soiled holding</t>
  </si>
  <si>
    <t>Hospital Clean workroom or clean holding</t>
  </si>
  <si>
    <t>Hospital ETO-sterilizer room</t>
  </si>
  <si>
    <t>Hospital Sterilizer equipment room</t>
  </si>
  <si>
    <t>Hospital Soiled or decontamination room</t>
  </si>
  <si>
    <t>Hospital Clean workroom</t>
  </si>
  <si>
    <t>Hospital Sterile storage</t>
  </si>
  <si>
    <t>Hospital Food preparation center</t>
  </si>
  <si>
    <t>Hospital Ware washing</t>
  </si>
  <si>
    <t>Hospital Dietary day storage</t>
  </si>
  <si>
    <t>Hospital Laundry general</t>
  </si>
  <si>
    <t>Hospital Soiled linen (sorting and storage)</t>
  </si>
  <si>
    <t>Hospital Clean linen storage</t>
  </si>
  <si>
    <t>Hospital Soiled linen and trash chute room</t>
  </si>
  <si>
    <t>Hospital Bedpan room</t>
  </si>
  <si>
    <t>Hospital Bathroom</t>
  </si>
  <si>
    <t>Hospital Janitor's closet</t>
  </si>
  <si>
    <t>ACH Max</t>
  </si>
  <si>
    <t>NA</t>
  </si>
  <si>
    <t>Total Coughs or Sneeze / Hour</t>
  </si>
  <si>
    <t>Breaths / Min</t>
  </si>
  <si>
    <t>Analysis 5 Probability of Exposure</t>
  </si>
  <si>
    <t>Scenarios</t>
  </si>
  <si>
    <t>Breaths / Sec</t>
  </si>
  <si>
    <t>Analysis 4 Probability of Infection</t>
  </si>
  <si>
    <t>Probability of Exposure</t>
  </si>
  <si>
    <t>Breaths / Virus Infection</t>
  </si>
  <si>
    <t>Infect load</t>
  </si>
  <si>
    <t>Virus load</t>
  </si>
  <si>
    <t>Exposure Sec</t>
  </si>
  <si>
    <t>Exposure Min</t>
  </si>
  <si>
    <t>AUC/hr</t>
  </si>
  <si>
    <t>Breaths/sec</t>
  </si>
  <si>
    <t>Breaths/Air Exchange</t>
  </si>
  <si>
    <t>hr before infected load</t>
  </si>
  <si>
    <t>Analysis 6 Static Model</t>
  </si>
  <si>
    <t>Virus inhaled (1 hr)</t>
  </si>
  <si>
    <t>Virus inhaled (2 hr)</t>
  </si>
  <si>
    <t>Virus inhaled (3 hr)</t>
  </si>
  <si>
    <t>30 inch whole house fan cu-ft/hr</t>
  </si>
  <si>
    <t>30 inch whole house fan cu-ft/min</t>
  </si>
  <si>
    <t>Ceiling</t>
  </si>
  <si>
    <t>square feet</t>
  </si>
  <si>
    <t>AUC</t>
  </si>
  <si>
    <t>Space cu-ft</t>
  </si>
  <si>
    <t>Minutes to change air</t>
  </si>
  <si>
    <t>Home HVAC cu-ft/min</t>
  </si>
  <si>
    <t>Home HVAC cu-ft/hr</t>
  </si>
  <si>
    <t>HVAC System</t>
  </si>
  <si>
    <t>Whole House Fan System</t>
  </si>
  <si>
    <t>HOA Club House</t>
  </si>
  <si>
    <t>cu-ft/min</t>
  </si>
  <si>
    <t xml:space="preserve"> cu-ft/hr</t>
  </si>
  <si>
    <t>fan system cu-ft/min</t>
  </si>
  <si>
    <t>Number of fans</t>
  </si>
  <si>
    <t>https://www.canarm.com/hvac/add-series-direct-drive-wall-fans.html</t>
  </si>
  <si>
    <t>MODEL #</t>
  </si>
  <si>
    <t>WEIGHT</t>
  </si>
  <si>
    <t>(LBS.)</t>
  </si>
  <si>
    <t>RPM</t>
  </si>
  <si>
    <t>H.P.</t>
  </si>
  <si>
    <t>dBA</t>
  </si>
  <si>
    <t>@ 5 ft.</t>
  </si>
  <si>
    <t>CFM @ STATIC PRESSURE</t>
  </si>
  <si>
    <t>SINGLE</t>
  </si>
  <si>
    <t>PHASE</t>
  </si>
  <si>
    <t>THREE</t>
  </si>
  <si>
    <t>THREE PHASE</t>
  </si>
  <si>
    <t>REVERSING BLADE</t>
  </si>
  <si>
    <t>0"</t>
  </si>
  <si>
    <t>1/8"</t>
  </si>
  <si>
    <t>1/4"</t>
  </si>
  <si>
    <t>1/2"</t>
  </si>
  <si>
    <t>3/4"</t>
  </si>
  <si>
    <t>1"</t>
  </si>
  <si>
    <t>1 1/4"</t>
  </si>
  <si>
    <t>BLADE DIAMETER</t>
  </si>
  <si>
    <t>12"</t>
  </si>
  <si>
    <t>ADD12T10033C</t>
  </si>
  <si>
    <t>ADD12T30033C*</t>
  </si>
  <si>
    <t>ADD12T10033B</t>
  </si>
  <si>
    <t>ADD12T30033B*</t>
  </si>
  <si>
    <t>14"</t>
  </si>
  <si>
    <t>ADD14T10033C</t>
  </si>
  <si>
    <t>ADD14T30033C*</t>
  </si>
  <si>
    <t>ADD14T10033B</t>
  </si>
  <si>
    <t>ADD14T30033B*</t>
  </si>
  <si>
    <t>16"</t>
  </si>
  <si>
    <t>ADD16T10033C</t>
  </si>
  <si>
    <t>ADD16T30033C*</t>
  </si>
  <si>
    <t>ADD16T10050B</t>
  </si>
  <si>
    <t>ADD16T30050B*</t>
  </si>
  <si>
    <t>18"</t>
  </si>
  <si>
    <t>ADD18T10033C</t>
  </si>
  <si>
    <t>ADD18T30033C*</t>
  </si>
  <si>
    <t>ADD18T10075B</t>
  </si>
  <si>
    <t>ADD18T30075B*</t>
  </si>
  <si>
    <t>20"</t>
  </si>
  <si>
    <t>ADD20T10033C</t>
  </si>
  <si>
    <t>ADD20T30033C*</t>
  </si>
  <si>
    <t>ADD20T10100B</t>
  </si>
  <si>
    <t>ADD20T30100B*</t>
  </si>
  <si>
    <t>24"</t>
  </si>
  <si>
    <t>ADD24T10050C</t>
  </si>
  <si>
    <t>ADD24T30050C*</t>
  </si>
  <si>
    <t>ADD24T10100C</t>
  </si>
  <si>
    <t>ADD24T30100C*</t>
  </si>
  <si>
    <t>ADD24T30150C*</t>
  </si>
  <si>
    <t>ADD24T10150B</t>
  </si>
  <si>
    <t>ADD24T30150B*</t>
  </si>
  <si>
    <t>ADD24T10200B</t>
  </si>
  <si>
    <t>ADD24T30200B*</t>
  </si>
  <si>
    <t>ADD24T10300B</t>
  </si>
  <si>
    <t>ADD24T30300B*</t>
  </si>
  <si>
    <t>30"</t>
  </si>
  <si>
    <t>ADD30T10100C</t>
  </si>
  <si>
    <t>ADD30T30100C*</t>
  </si>
  <si>
    <t>ADDR30T30100C*</t>
  </si>
  <si>
    <t>ADD30T30150C*</t>
  </si>
  <si>
    <t>ADDR30T30150C*</t>
  </si>
  <si>
    <t>ADD30T30200C*</t>
  </si>
  <si>
    <t>ADDR30T30200C*</t>
  </si>
  <si>
    <t>ADD30T10300B</t>
  </si>
  <si>
    <t>ADD30T30300B*</t>
  </si>
  <si>
    <t>ADDR30T30300B*</t>
  </si>
  <si>
    <t>ADD30T30500B*</t>
  </si>
  <si>
    <t>ADDR30T30500B*</t>
  </si>
  <si>
    <t>36"</t>
  </si>
  <si>
    <t>ADD36T30200C*</t>
  </si>
  <si>
    <t>ADDR36T30200C*</t>
  </si>
  <si>
    <t>ADD36T30300C*</t>
  </si>
  <si>
    <t>ADDR36T30300C*</t>
  </si>
  <si>
    <t>ADD36T30500C*</t>
  </si>
  <si>
    <t>ADDR36T30500C*</t>
  </si>
  <si>
    <t>ADD36T10500B</t>
  </si>
  <si>
    <t>ADD36T30500B*</t>
  </si>
  <si>
    <t>ADDR36T30500B*</t>
  </si>
  <si>
    <t>ADD36T10750B</t>
  </si>
  <si>
    <t>ADD36T30750B*</t>
  </si>
  <si>
    <t>ADDR36T30750B*</t>
  </si>
  <si>
    <t>ADD36T11000B</t>
  </si>
  <si>
    <t>ADD36T31000B*</t>
  </si>
  <si>
    <t>ADDR36T31000B*</t>
  </si>
  <si>
    <t>42"</t>
  </si>
  <si>
    <t>ADD42T30200D*</t>
  </si>
  <si>
    <t>ADDR42T30200D*</t>
  </si>
  <si>
    <t>ADD42T30300D*</t>
  </si>
  <si>
    <t>ADDR42T30300D*</t>
  </si>
  <si>
    <t>ADD42T30500D*</t>
  </si>
  <si>
    <t>ADDR42T30500D*</t>
  </si>
  <si>
    <t>ADD42T30500C*</t>
  </si>
  <si>
    <t>ADDR42T30500C*</t>
  </si>
  <si>
    <t>ADD42T30750C*</t>
  </si>
  <si>
    <t>ADDR42T30750C*</t>
  </si>
  <si>
    <t>ADD42T31000B*</t>
  </si>
  <si>
    <t>ADDR42T31000B*</t>
  </si>
  <si>
    <t>ADD42T31500B*</t>
  </si>
  <si>
    <t>ADDR42T31500B*</t>
  </si>
  <si>
    <t>48"</t>
  </si>
  <si>
    <t>ADD48T30500D*</t>
  </si>
  <si>
    <t>ADDR48T30500D*</t>
  </si>
  <si>
    <t>ADD48T30750D*</t>
  </si>
  <si>
    <t>ADDR48T30750D*</t>
  </si>
  <si>
    <t>ADD48T31000C*</t>
  </si>
  <si>
    <t>ADDR48T31000C*</t>
  </si>
  <si>
    <t>ADD48T31500C*</t>
  </si>
  <si>
    <t>ADDR48T31500C*</t>
  </si>
  <si>
    <t>ADD48T32000C*</t>
  </si>
  <si>
    <t>ADDR48T32000C*</t>
  </si>
  <si>
    <t>40</t>
  </si>
  <si>
    <t>1140</t>
  </si>
  <si>
    <t>45</t>
  </si>
  <si>
    <t>990</t>
  </si>
  <si>
    <t>760</t>
  </si>
  <si>
    <t>102</t>
  </si>
  <si>
    <t>34</t>
  </si>
  <si>
    <t>1750</t>
  </si>
  <si>
    <t>55</t>
  </si>
  <si>
    <t>1450</t>
  </si>
  <si>
    <t>1340</t>
  </si>
  <si>
    <t>1230</t>
  </si>
  <si>
    <t>313</t>
  </si>
  <si>
    <t>42</t>
  </si>
  <si>
    <t>49</t>
  </si>
  <si>
    <t>1190</t>
  </si>
  <si>
    <t>443</t>
  </si>
  <si>
    <t>58</t>
  </si>
  <si>
    <t>2220</t>
  </si>
  <si>
    <t>2070</t>
  </si>
  <si>
    <t>1920</t>
  </si>
  <si>
    <t>1350</t>
  </si>
  <si>
    <t>512</t>
  </si>
  <si>
    <t>185</t>
  </si>
  <si>
    <t>46</t>
  </si>
  <si>
    <t>53</t>
  </si>
  <si>
    <t>2150</t>
  </si>
  <si>
    <t>1960</t>
  </si>
  <si>
    <t>1640</t>
  </si>
  <si>
    <t>340</t>
  </si>
  <si>
    <t>38</t>
  </si>
  <si>
    <t>63</t>
  </si>
  <si>
    <t>3300</t>
  </si>
  <si>
    <t>3180</t>
  </si>
  <si>
    <t>3040</t>
  </si>
  <si>
    <t>2690</t>
  </si>
  <si>
    <t>825</t>
  </si>
  <si>
    <t>47</t>
  </si>
  <si>
    <t>57</t>
  </si>
  <si>
    <t>2990</t>
  </si>
  <si>
    <t>2740</t>
  </si>
  <si>
    <t>2450</t>
  </si>
  <si>
    <t>845</t>
  </si>
  <si>
    <t>67</t>
  </si>
  <si>
    <t>4590</t>
  </si>
  <si>
    <t>4440</t>
  </si>
  <si>
    <t>4280</t>
  </si>
  <si>
    <t>3910</t>
  </si>
  <si>
    <t>3260</t>
  </si>
  <si>
    <t>50</t>
  </si>
  <si>
    <t>62</t>
  </si>
  <si>
    <t>4530</t>
  </si>
  <si>
    <t>3920</t>
  </si>
  <si>
    <t>739</t>
  </si>
  <si>
    <t>61</t>
  </si>
  <si>
    <t>1.0</t>
  </si>
  <si>
    <t>72</t>
  </si>
  <si>
    <t>6950</t>
  </si>
  <si>
    <t>6570</t>
  </si>
  <si>
    <t>6155</t>
  </si>
  <si>
    <t>5300</t>
  </si>
  <si>
    <t>3225</t>
  </si>
  <si>
    <t>1860</t>
  </si>
  <si>
    <t>91</t>
  </si>
  <si>
    <t>59</t>
  </si>
  <si>
    <t>4990</t>
  </si>
  <si>
    <t>4610</t>
  </si>
  <si>
    <t>4180</t>
  </si>
  <si>
    <t>2920</t>
  </si>
  <si>
    <t>1210</t>
  </si>
  <si>
    <t>125</t>
  </si>
  <si>
    <t>65</t>
  </si>
  <si>
    <t>6520</t>
  </si>
  <si>
    <t>6090</t>
  </si>
  <si>
    <t>5630</t>
  </si>
  <si>
    <t>4380</t>
  </si>
  <si>
    <t>813</t>
  </si>
  <si>
    <t>117</t>
  </si>
  <si>
    <t>1.5</t>
  </si>
  <si>
    <t>8710</t>
  </si>
  <si>
    <t>8190</t>
  </si>
  <si>
    <t>7630</t>
  </si>
  <si>
    <t>6020</t>
  </si>
  <si>
    <t>2380</t>
  </si>
  <si>
    <t>720</t>
  </si>
  <si>
    <t>71</t>
  </si>
  <si>
    <t>68</t>
  </si>
  <si>
    <t>7660</t>
  </si>
  <si>
    <t>7430</t>
  </si>
  <si>
    <t>7160</t>
  </si>
  <si>
    <t>6620</t>
  </si>
  <si>
    <t>5980</t>
  </si>
  <si>
    <t>5170</t>
  </si>
  <si>
    <t>113</t>
  </si>
  <si>
    <t>2.0</t>
  </si>
  <si>
    <t>73</t>
  </si>
  <si>
    <t>9210</t>
  </si>
  <si>
    <t>8950</t>
  </si>
  <si>
    <t>8660</t>
  </si>
  <si>
    <t>8090</t>
  </si>
  <si>
    <t>7470</t>
  </si>
  <si>
    <t>6660</t>
  </si>
  <si>
    <t>3.0</t>
  </si>
  <si>
    <t>75</t>
  </si>
  <si>
    <t>11500</t>
  </si>
  <si>
    <t>11220</t>
  </si>
  <si>
    <t>10900</t>
  </si>
  <si>
    <t>10200</t>
  </si>
  <si>
    <t>9490</t>
  </si>
  <si>
    <t>8680</t>
  </si>
  <si>
    <t>138</t>
  </si>
  <si>
    <t>8110</t>
  </si>
  <si>
    <t>7480</t>
  </si>
  <si>
    <t>6000</t>
  </si>
  <si>
    <t>3630</t>
  </si>
  <si>
    <t>1550</t>
  </si>
  <si>
    <t>131</t>
  </si>
  <si>
    <t>69</t>
  </si>
  <si>
    <t>11800</t>
  </si>
  <si>
    <t>11230</t>
  </si>
  <si>
    <t>10600</t>
  </si>
  <si>
    <t>6070</t>
  </si>
  <si>
    <t>3070</t>
  </si>
  <si>
    <t>149</t>
  </si>
  <si>
    <t>70</t>
  </si>
  <si>
    <t>12780</t>
  </si>
  <si>
    <t>12170</t>
  </si>
  <si>
    <t>11490</t>
  </si>
  <si>
    <t>9850</t>
  </si>
  <si>
    <t>7320</t>
  </si>
  <si>
    <t>3620</t>
  </si>
  <si>
    <t>139</t>
  </si>
  <si>
    <t>74</t>
  </si>
  <si>
    <t>13300</t>
  </si>
  <si>
    <t>12950</t>
  </si>
  <si>
    <t>12550</t>
  </si>
  <si>
    <t>11700</t>
  </si>
  <si>
    <t>11000</t>
  </si>
  <si>
    <t>9980</t>
  </si>
  <si>
    <t>5.0</t>
  </si>
  <si>
    <t>78</t>
  </si>
  <si>
    <t>18200</t>
  </si>
  <si>
    <t>17790</t>
  </si>
  <si>
    <t>17350</t>
  </si>
  <si>
    <t>16550</t>
  </si>
  <si>
    <t>15200</t>
  </si>
  <si>
    <t>14600</t>
  </si>
  <si>
    <t>180</t>
  </si>
  <si>
    <t>14000</t>
  </si>
  <si>
    <t>13240</t>
  </si>
  <si>
    <t>12400</t>
  </si>
  <si>
    <t>8390</t>
  </si>
  <si>
    <t>5530</t>
  </si>
  <si>
    <t>212</t>
  </si>
  <si>
    <t>19400</t>
  </si>
  <si>
    <t>18520</t>
  </si>
  <si>
    <t>17550</t>
  </si>
  <si>
    <t>15600</t>
  </si>
  <si>
    <t>13100</t>
  </si>
  <si>
    <t>8980</t>
  </si>
  <si>
    <t>223</t>
  </si>
  <si>
    <t>76</t>
  </si>
  <si>
    <t>23600</t>
  </si>
  <si>
    <t>22870</t>
  </si>
  <si>
    <t>22050</t>
  </si>
  <si>
    <t>19700</t>
  </si>
  <si>
    <t>16850</t>
  </si>
  <si>
    <t>16200</t>
  </si>
  <si>
    <t>15730</t>
  </si>
  <si>
    <t>14200</t>
  </si>
  <si>
    <t>12800</t>
  </si>
  <si>
    <t>12200</t>
  </si>
  <si>
    <t>245</t>
  </si>
  <si>
    <t>7.5</t>
  </si>
  <si>
    <t>82</t>
  </si>
  <si>
    <t>21500</t>
  </si>
  <si>
    <t>20980</t>
  </si>
  <si>
    <t>20400</t>
  </si>
  <si>
    <t>18350</t>
  </si>
  <si>
    <t>17100</t>
  </si>
  <si>
    <t>255</t>
  </si>
  <si>
    <t>10.0</t>
  </si>
  <si>
    <t>83</t>
  </si>
  <si>
    <t>29700</t>
  </si>
  <si>
    <t>29160</t>
  </si>
  <si>
    <t>28550</t>
  </si>
  <si>
    <t>27300</t>
  </si>
  <si>
    <t>26150</t>
  </si>
  <si>
    <t>24900</t>
  </si>
  <si>
    <t>233</t>
  </si>
  <si>
    <t>860</t>
  </si>
  <si>
    <t>19200</t>
  </si>
  <si>
    <t>17830</t>
  </si>
  <si>
    <t>16300</t>
  </si>
  <si>
    <t>6720</t>
  </si>
  <si>
    <t>23210</t>
  </si>
  <si>
    <t>21800</t>
  </si>
  <si>
    <t>20230</t>
  </si>
  <si>
    <t>16280</t>
  </si>
  <si>
    <t>3940</t>
  </si>
  <si>
    <t>353</t>
  </si>
  <si>
    <t>28900</t>
  </si>
  <si>
    <t>27340</t>
  </si>
  <si>
    <t>25600</t>
  </si>
  <si>
    <t>20800</t>
  </si>
  <si>
    <t>11100</t>
  </si>
  <si>
    <t>6290</t>
  </si>
  <si>
    <t>236</t>
  </si>
  <si>
    <t>25500</t>
  </si>
  <si>
    <t>24580</t>
  </si>
  <si>
    <t>23550</t>
  </si>
  <si>
    <t>21100</t>
  </si>
  <si>
    <t>18300</t>
  </si>
  <si>
    <t>258</t>
  </si>
  <si>
    <t>30690</t>
  </si>
  <si>
    <t>29770</t>
  </si>
  <si>
    <t>28750</t>
  </si>
  <si>
    <t>26190</t>
  </si>
  <si>
    <t>23350</t>
  </si>
  <si>
    <t>19410</t>
  </si>
  <si>
    <t>254</t>
  </si>
  <si>
    <t>26700</t>
  </si>
  <si>
    <t>25990</t>
  </si>
  <si>
    <t>25200</t>
  </si>
  <si>
    <t>23750</t>
  </si>
  <si>
    <t>22380</t>
  </si>
  <si>
    <t>380</t>
  </si>
  <si>
    <t>15.0</t>
  </si>
  <si>
    <t>85</t>
  </si>
  <si>
    <t>39100</t>
  </si>
  <si>
    <t>38620</t>
  </si>
  <si>
    <t>28080</t>
  </si>
  <si>
    <t>36700</t>
  </si>
  <si>
    <t>34640</t>
  </si>
  <si>
    <t>33500</t>
  </si>
  <si>
    <t>382</t>
  </si>
  <si>
    <t>29820</t>
  </si>
  <si>
    <t>28450</t>
  </si>
  <si>
    <t>26940</t>
  </si>
  <si>
    <t>23790</t>
  </si>
  <si>
    <t>16820</t>
  </si>
  <si>
    <t>12790</t>
  </si>
  <si>
    <t>507</t>
  </si>
  <si>
    <t>77</t>
  </si>
  <si>
    <t>35700</t>
  </si>
  <si>
    <t>34160</t>
  </si>
  <si>
    <t>32450</t>
  </si>
  <si>
    <t>28600</t>
  </si>
  <si>
    <t>22400</t>
  </si>
  <si>
    <t>16800</t>
  </si>
  <si>
    <t>425</t>
  </si>
  <si>
    <t>81</t>
  </si>
  <si>
    <t>39500</t>
  </si>
  <si>
    <t>38500</t>
  </si>
  <si>
    <t>37400</t>
  </si>
  <si>
    <t>35000</t>
  </si>
  <si>
    <t>32700</t>
  </si>
  <si>
    <t>29800</t>
  </si>
  <si>
    <t>570</t>
  </si>
  <si>
    <t>47300</t>
  </si>
  <si>
    <t>46230</t>
  </si>
  <si>
    <t>45050</t>
  </si>
  <si>
    <t>42300</t>
  </si>
  <si>
    <t>38600</t>
  </si>
  <si>
    <t>36200</t>
  </si>
  <si>
    <t>596</t>
  </si>
  <si>
    <t>20.0</t>
  </si>
  <si>
    <t>53900</t>
  </si>
  <si>
    <t>52740</t>
  </si>
  <si>
    <t>51450</t>
  </si>
  <si>
    <t>48400</t>
  </si>
  <si>
    <t>45200</t>
  </si>
  <si>
    <t>CFM/HP</t>
  </si>
  <si>
    <t>US Population</t>
  </si>
  <si>
    <t>Herd Immunity</t>
  </si>
  <si>
    <t>Death Rate</t>
  </si>
  <si>
    <t>Infected</t>
  </si>
  <si>
    <t>Date</t>
  </si>
  <si>
    <t>Total Cases</t>
  </si>
  <si>
    <t>Total Deaths</t>
  </si>
  <si>
    <t xml:space="preserve">Case fatality rates (%) </t>
  </si>
  <si>
    <t>Comments</t>
  </si>
  <si>
    <t>Projections</t>
  </si>
  <si>
    <t>Let us hope and pray that something happens to stop this massive disaster</t>
  </si>
  <si>
    <t>2+ years</t>
  </si>
  <si>
    <t>50% herd immunity 328 million people</t>
  </si>
  <si>
    <t>60% herd immunity 328 million people</t>
  </si>
  <si>
    <t>75% herd immunity 328 million people</t>
  </si>
  <si>
    <t>see video</t>
  </si>
  <si>
    <t>Other projections: COVID19 Trend Analysis Case Study</t>
  </si>
  <si>
    <t>TV news is reporting the US COVID-19 cases and death rates.</t>
  </si>
  <si>
    <t>TV news is displaying the US COVID-19 cases and death rates.</t>
  </si>
  <si>
    <t>Daily Deaths</t>
  </si>
  <si>
    <t>2 year projection</t>
  </si>
  <si>
    <t>years to reach herd immunity</t>
  </si>
  <si>
    <t>death rate changes</t>
  </si>
  <si>
    <t>native immunity changes</t>
  </si>
  <si>
    <t>Weekly Deaths</t>
  </si>
  <si>
    <t>https://nces.ed.gov/fastfacts/display.asp?id=372</t>
  </si>
  <si>
    <t>How many students will attend school in fall 2019?</t>
  </si>
  <si>
    <t>About 56.6 million students will attend elementary, middle, and high schools across the United States (source).</t>
  </si>
  <si>
    <t>Of the 50.8 million public school students (source):</t>
  </si>
  <si>
    <t>About 3.7 million students are expected to graduate from high school during the 2019–20 school year, including 3.3 million students from public schools and 0.3 million from private schools (source).</t>
  </si>
  <si>
    <t>50.8 million students in public schools</t>
  </si>
  <si>
    <t>5.8 million students in private schools</t>
  </si>
  <si>
    <t>1.4 million will attend prekindergarten</t>
  </si>
  <si>
    <t>3.7 million will attend kindergarten</t>
  </si>
  <si>
    <t>35.5 million will attend prekindergarten to grade 8</t>
  </si>
  <si>
    <t>15.3 million will attend grades 9 to 12</t>
  </si>
  <si>
    <t>4.1 million will attend 9th grade, the grade students typically enter high school</t>
  </si>
  <si>
    <t>Students</t>
  </si>
  <si>
    <t>https://nces.ed.gov/fastfacts/display.asp?id=84</t>
  </si>
  <si>
    <t>SOURCE: U.S. Department of Education, National Center for Education Statistics. (2019). Digest of Education Statistics, 2018 (NCES 2020-009), Chapter 2.</t>
  </si>
  <si>
    <t>Number of educational institutions, by level and control of institution: Selected years, 1980–81 through 2016–17</t>
  </si>
  <si>
    <t>Level and control of institution</t>
  </si>
  <si>
    <t>1980–81</t>
  </si>
  <si>
    <t>1990–91</t>
  </si>
  <si>
    <t>1999–2000</t>
  </si>
  <si>
    <t>2006–07</t>
  </si>
  <si>
    <t>2007–08</t>
  </si>
  <si>
    <t>2008–09</t>
  </si>
  <si>
    <t>2009–10</t>
  </si>
  <si>
    <t>2010–11</t>
  </si>
  <si>
    <t>2011–12</t>
  </si>
  <si>
    <t>2012–13</t>
  </si>
  <si>
    <t>2013–14</t>
  </si>
  <si>
    <t>2014–15</t>
  </si>
  <si>
    <t>2015–16</t>
  </si>
  <si>
    <t>2016–17</t>
  </si>
  <si>
    <t>Public schools</t>
  </si>
  <si>
    <t>Elementary</t>
  </si>
  <si>
    <t>Secondary</t>
  </si>
  <si>
    <t>Combined</t>
  </si>
  <si>
    <t>Other1</t>
  </si>
  <si>
    <t>Private schools2</t>
  </si>
  <si>
    <t>–</t>
  </si>
  <si>
    <t>Postsecondary Title IV institutions</t>
  </si>
  <si>
    <t>Degree-granting institutions</t>
  </si>
  <si>
    <t>2-year colleges</t>
  </si>
  <si>
    <t>4-year colleges</t>
  </si>
  <si>
    <t>Public Schools</t>
  </si>
  <si>
    <t>Students / School</t>
  </si>
  <si>
    <t>Complete HVAC Replacement</t>
  </si>
  <si>
    <t>https://www.mvtimes.com/2015/10/21/replacement-of-high-school-hvac-system-has-4-8-million-price-tag/</t>
  </si>
  <si>
    <t>Cost per student</t>
  </si>
  <si>
    <t>Retrofit Assumption</t>
  </si>
  <si>
    <t>Cost to Retrofit All Schools</t>
  </si>
  <si>
    <t>Cost per ft2 at 35K ft2</t>
  </si>
  <si>
    <t>Number of students</t>
  </si>
  <si>
    <t>https://en.wikipedia.org/wiki/Martha%27s_Vineyard_Regional_High_School</t>
  </si>
  <si>
    <t>Cost to Replace All Schools (school based)</t>
  </si>
  <si>
    <t>Cost to Replace All Schools (student based)</t>
  </si>
  <si>
    <t>https://www.researchgate.net/post/How_to_calculate_the_dilution_of_contaminated_air_as_a_function_of_distance</t>
  </si>
  <si>
    <t xml:space="preserve">Ca= B*Qi / (u*x^2) </t>
  </si>
  <si>
    <t>Ca the concentration at the point of interest (Bq/m3)</t>
  </si>
  <si>
    <t>Qi the released concentration per unit of time (Bq/s)</t>
  </si>
  <si>
    <t xml:space="preserve">x the distance between release vent and point of interest [m] </t>
  </si>
  <si>
    <t>u the speed of the wind [m/s]</t>
  </si>
  <si>
    <t>d is the distance</t>
  </si>
  <si>
    <t>Radio Transmission</t>
  </si>
  <si>
    <t>Source and Receptor on same building surface</t>
  </si>
  <si>
    <t>Radionuclides Atmospheric Dispersion</t>
  </si>
  <si>
    <t>Ca</t>
  </si>
  <si>
    <t>Qi</t>
  </si>
  <si>
    <t>x</t>
  </si>
  <si>
    <t>u</t>
  </si>
  <si>
    <t>Virus Load Source</t>
  </si>
  <si>
    <t>Virus Load Destination</t>
  </si>
  <si>
    <t>Distance</t>
  </si>
  <si>
    <t>Wind Speed</t>
  </si>
  <si>
    <t>Distance
Feet</t>
  </si>
  <si>
    <t>Wind 
Miles/Hr</t>
  </si>
  <si>
    <t>Source
Virus/min</t>
  </si>
  <si>
    <t>Destination
Virus/min</t>
  </si>
  <si>
    <t>Wind 
Feet/Min</t>
  </si>
  <si>
    <t>Pd is the power density at the target surface</t>
  </si>
  <si>
    <t>Ps is the power at the source</t>
  </si>
  <si>
    <t>Pd=Ps/d^2</t>
  </si>
  <si>
    <t>Ps</t>
  </si>
  <si>
    <t>Pd</t>
  </si>
  <si>
    <t>d</t>
  </si>
  <si>
    <t>Time to Reach Qi
Min</t>
  </si>
  <si>
    <t>Time to Reach Ps
Min</t>
  </si>
  <si>
    <t>If x is greater than three times the diameter of the stack or vent, use Eq. (7) 
below to calculate the air concentration with B = 30</t>
  </si>
  <si>
    <t>Up against wall</t>
  </si>
  <si>
    <t>Up against wall No air movement</t>
  </si>
  <si>
    <t>Free space air movement</t>
  </si>
  <si>
    <t>Free space no air movement</t>
  </si>
  <si>
    <t xml:space="preserve">B Unitless constant  accounts for increase in air concentration along  vertical wall </t>
  </si>
  <si>
    <t>because of air stagnation created by wakes.</t>
  </si>
  <si>
    <t>Free space air movement, at 1 foot this is really up against a wall and you are the wall</t>
  </si>
  <si>
    <t>Up against wall No air movement, this is after a period of time (B becomes T) to build up against the wall</t>
  </si>
  <si>
    <t>Location</t>
  </si>
  <si>
    <t>Inside</t>
  </si>
  <si>
    <t>Outside wall</t>
  </si>
  <si>
    <t>Outside No Wind</t>
  </si>
  <si>
    <t>Outside No Wind, Tent</t>
  </si>
  <si>
    <t>Outside, Beach, Park</t>
  </si>
  <si>
    <t>L</t>
  </si>
  <si>
    <t>W</t>
  </si>
  <si>
    <t>Cubic Ft</t>
  </si>
  <si>
    <t>Breathing</t>
  </si>
  <si>
    <t>Risk</t>
  </si>
  <si>
    <t>Low to Unacceptable</t>
  </si>
  <si>
    <t>Unacceptable</t>
  </si>
  <si>
    <t>Classroom, restaurant, office, small shop</t>
  </si>
  <si>
    <t>Grocery store, big box store, garage, warehouse</t>
  </si>
  <si>
    <t>Free space no air movement, Equation check</t>
  </si>
  <si>
    <t>Cough 6/hr 80% Droplet Infection</t>
  </si>
  <si>
    <t>Sneeze 1/hr 80% Droplet Infection</t>
  </si>
  <si>
    <t>Req'd ACH
With Massive Air Mixing for uniform Virus Distribution</t>
  </si>
  <si>
    <t>Time to Reach V=1000 
Min</t>
  </si>
  <si>
    <t>Virtually none</t>
  </si>
  <si>
    <t>Mask
Person 1</t>
  </si>
  <si>
    <t>Mask
Person 2</t>
  </si>
  <si>
    <t>Filter Effect</t>
  </si>
  <si>
    <t>1 Mask filter effectiveness 75%</t>
  </si>
  <si>
    <t>2 Masks filter effectiveness 75%</t>
  </si>
  <si>
    <t>1 Mask filter effectiveness 90%</t>
  </si>
  <si>
    <t>2 Masks filter effectiveness 90%</t>
  </si>
  <si>
    <t>1 Mask filter effectiveness 99%</t>
  </si>
  <si>
    <t>2 Masks filter effectiveness 99%</t>
  </si>
  <si>
    <t>Virus/Cubic-ft per min</t>
  </si>
  <si>
    <t>Source
Virus/min
Per Cubic-Ft</t>
  </si>
  <si>
    <t>Indoor space with NO mixing of air</t>
  </si>
  <si>
    <t>Mask effects analysis</t>
  </si>
  <si>
    <t>Dilution effects analysis</t>
  </si>
  <si>
    <t>cu-ft</t>
  </si>
  <si>
    <t>Time to Reach
V=1000 
Min
With 2 masks 75% but not the recommended AUC</t>
  </si>
  <si>
    <t>This shows that without proper ventilation and AUC masks will not work</t>
  </si>
  <si>
    <t>Indoor Space With Massive Air Mixing</t>
  </si>
  <si>
    <t>cfm/person</t>
  </si>
  <si>
    <t>people</t>
  </si>
  <si>
    <t>cfm</t>
  </si>
  <si>
    <t>cfh</t>
  </si>
  <si>
    <t>classroom</t>
  </si>
  <si>
    <t>smoking area</t>
  </si>
  <si>
    <t>ACH
with 1 mask
.25</t>
  </si>
  <si>
    <t>ACH
with 2 masks
.25 &amp; .25 .0625</t>
  </si>
  <si>
    <t>Req'd ACH
With NO Air Mixing for uniform Virus Distribution</t>
  </si>
  <si>
    <t>Destination
Virus/min With Mask</t>
  </si>
  <si>
    <t>Mask Filter Effect</t>
  </si>
  <si>
    <t>Time to Reach V=1000
Min</t>
  </si>
  <si>
    <t>Med</t>
  </si>
  <si>
    <t>Indoor Distance
Feet</t>
  </si>
  <si>
    <t>Indoor, 1 Mask filter effectiveness 75%</t>
  </si>
  <si>
    <t>Indoor, 2 Masks filter effectiveness 75%</t>
  </si>
  <si>
    <t>Indoor, 1 Mask filter effectiveness 90%</t>
  </si>
  <si>
    <t>Indoor, 2 Masks filter effectiveness 90%</t>
  </si>
  <si>
    <t>Indoor, 1 Mask filter effectiveness 99%</t>
  </si>
  <si>
    <t>Indoor, 2 Masks filter effectiveness 99%</t>
  </si>
  <si>
    <t>This is why outdoors is good</t>
  </si>
  <si>
    <t>Virtually None</t>
  </si>
  <si>
    <t>Risk 
Ventilation Assumed To Be Turned Off</t>
  </si>
  <si>
    <t>where:</t>
  </si>
  <si>
    <t>P = probability of infection for susceptibles</t>
  </si>
  <si>
    <t>D = number of disease cases</t>
  </si>
  <si>
    <t>S = number of susceptibles</t>
  </si>
  <si>
    <t>I = number of infectors</t>
  </si>
  <si>
    <t>p = breathing rate per person (m3/s)</t>
  </si>
  <si>
    <t>q = quantum generation rate by an infected person (quanta/s)</t>
  </si>
  <si>
    <t>t = total exposure time (s)</t>
  </si>
  <si>
    <t>Q = outdoor air supply rate (m3/s).</t>
  </si>
  <si>
    <t>P = D/S = 1 - exp ( - (Ipqt/Q) )</t>
  </si>
  <si>
    <t>Exposure Time Min</t>
  </si>
  <si>
    <t>Outdoor Air Supply
AUC / hr</t>
  </si>
  <si>
    <t>lpqt</t>
  </si>
  <si>
    <t>Q</t>
  </si>
  <si>
    <t>P</t>
  </si>
  <si>
    <t>q / sec</t>
  </si>
  <si>
    <t>Q
cu-in/sec</t>
  </si>
  <si>
    <t>p
cu-in/sec</t>
  </si>
  <si>
    <t>Q
cu-ft/hr</t>
  </si>
  <si>
    <t>Space
cu-ft</t>
  </si>
  <si>
    <t>death rate</t>
  </si>
  <si>
    <t>Virus / Breath</t>
  </si>
  <si>
    <t>Sec to Infection</t>
  </si>
  <si>
    <t>Wells–Riley equation</t>
  </si>
  <si>
    <t>Large indoor space</t>
  </si>
  <si>
    <t>Small indoor space</t>
  </si>
  <si>
    <t>2 Masks 
@ 75%</t>
  </si>
  <si>
    <t>no mask</t>
  </si>
  <si>
    <t>Scenario</t>
  </si>
  <si>
    <t>Ventilation</t>
  </si>
  <si>
    <t>Poor</t>
  </si>
  <si>
    <t>Expected</t>
  </si>
  <si>
    <t>Rare</t>
  </si>
  <si>
    <t>Massive Natural</t>
  </si>
  <si>
    <t>time sec</t>
  </si>
  <si>
    <t>time hour</t>
  </si>
  <si>
    <t>wind 1 mile / hr</t>
  </si>
  <si>
    <t>Outside beach park</t>
  </si>
  <si>
    <t>wind 5 mile / hr</t>
  </si>
  <si>
    <t>Outside small enclosed back yard</t>
  </si>
  <si>
    <t>Outside large beach park</t>
  </si>
  <si>
    <t>Infection
Load</t>
  </si>
  <si>
    <t>Small indoor space Best case school &amp; work Setting</t>
  </si>
  <si>
    <t>Large indoor space Shopping</t>
  </si>
  <si>
    <t>Large indoor space Retail Work</t>
  </si>
  <si>
    <t>Small indoor space School Setting</t>
  </si>
  <si>
    <t>social distance</t>
  </si>
  <si>
    <t>sq-ft</t>
  </si>
  <si>
    <t>Parties</t>
  </si>
  <si>
    <t>%</t>
  </si>
  <si>
    <t>Unlikely the virus will travel this distance without being diluted</t>
  </si>
  <si>
    <t>* Note that the Wells-Riley equation suggests that the risks are very high. This analysis is provided further in the document.</t>
  </si>
  <si>
    <t>Virtually none *</t>
  </si>
  <si>
    <t>Low only with massive AUC *</t>
  </si>
  <si>
    <t>Chance of Infection</t>
  </si>
  <si>
    <t xml:space="preserve">4/22/2020 origination </t>
  </si>
  <si>
    <t>Small indoor space Small Restaurant Reality no mask while eating</t>
  </si>
  <si>
    <t>Small indoor space Small Restaurant Not sure how to eat with a mask</t>
  </si>
  <si>
    <t>Monthly
Deaths</t>
  </si>
  <si>
    <t>c1</t>
  </si>
  <si>
    <t>v1</t>
  </si>
  <si>
    <t>c2</t>
  </si>
  <si>
    <t>v2</t>
  </si>
  <si>
    <t>C1*V1 = C2*V2</t>
  </si>
  <si>
    <t>Boxcar Specifications</t>
  </si>
  <si>
    <t>50' Standard</t>
  </si>
  <si>
    <t>60' Standard</t>
  </si>
  <si>
    <t>Exterior Length</t>
  </si>
  <si>
    <t>55' 5"</t>
  </si>
  <si>
    <t>67' 11"</t>
  </si>
  <si>
    <t>Exterior Width</t>
  </si>
  <si>
    <t>10' 7"</t>
  </si>
  <si>
    <t>10' 6"</t>
  </si>
  <si>
    <t>Freight Capacity</t>
  </si>
  <si>
    <t>70 - 100 tons</t>
  </si>
  <si>
    <t>46.5 feet</t>
  </si>
  <si>
    <t>Car length</t>
  </si>
  <si>
    <t>Width</t>
  </si>
  <si>
    <t>Height</t>
  </si>
  <si>
    <t>Doors</t>
  </si>
  <si>
    <t>Cubic Capacity ft</t>
  </si>
  <si>
    <t>bus</t>
  </si>
  <si>
    <t>SEPTA PCC II Trolley</t>
  </si>
  <si>
    <t>bus 40 ft</t>
  </si>
  <si>
    <t>bus 60 ft</t>
  </si>
  <si>
    <t>Trolley A</t>
  </si>
  <si>
    <t>Trolley B</t>
  </si>
  <si>
    <t>Train A 60 ft</t>
  </si>
  <si>
    <t>Train B 60 ft</t>
  </si>
  <si>
    <t>Like restaurant</t>
  </si>
  <si>
    <t>Japan commuter train</t>
  </si>
  <si>
    <t>TV news STOPPED displaying and reporting the US COVID-19 cases and death rates. Instead the news is dominated by protests that erupted by May 29, 2020 over the murder of an American citizen by police in Minneapolis, Minnesota on May 25, 2020. The TV images of the murder were broadcast around the world. [REF-wiki] Deaths exceed Korean Plus Vietnam Wars Battle Deaths [7]</t>
  </si>
  <si>
    <t>TV news is displaying the US COVID-19 cases and death rates. Deaths exceed Korean War Battle Deaths of 33,739 [7] Deaths exceed Vietnam War Battle Deaths of 47,434 [7]</t>
  </si>
  <si>
    <t>Distance
ft</t>
  </si>
  <si>
    <t>Infected
%</t>
  </si>
  <si>
    <t>Yes</t>
  </si>
  <si>
    <t xml:space="preserve"> Yes but 1 hour mask off</t>
  </si>
  <si>
    <t>mask failures in school</t>
  </si>
  <si>
    <t>Small indoor space School Setting Small Restaurant</t>
  </si>
  <si>
    <t>CDC Deaths exceed World War I + Korean + Vietnam Wars Battle Deaths [7]</t>
  </si>
  <si>
    <t>JHU Deaths exceed World War I + Korean + Vietnam Wars Battle Deaths [7]</t>
  </si>
  <si>
    <t>CDC After 2 weeks of demonstrations over the muder of an American citizen by police in Minneapolis, Minnesota.</t>
  </si>
  <si>
    <t>JHU The second line is data from Johns Hopkins University &amp; Medicine.</t>
  </si>
  <si>
    <t>JHU</t>
  </si>
  <si>
    <t>US Wars</t>
  </si>
  <si>
    <t>Battle Deaths</t>
  </si>
  <si>
    <t>American Revolution (1775-1783)</t>
  </si>
  <si>
    <t>World War I (1917-1918)</t>
  </si>
  <si>
    <t>War of 1812 (1812-1815)</t>
  </si>
  <si>
    <t>World War II (1941 –1945)</t>
  </si>
  <si>
    <t>Indian Wars (approx. 1817-1898)</t>
  </si>
  <si>
    <t>Korean War (1950-1953)</t>
  </si>
  <si>
    <t>Mexican War (1846-1848)</t>
  </si>
  <si>
    <t>Vietnam War (1964-1975)</t>
  </si>
  <si>
    <t>Civil War (1861-1865) Union</t>
  </si>
  <si>
    <t>Desert Shield/Desert Storm (1990-1991)</t>
  </si>
  <si>
    <t>Civil War (1861-1865) Confederate</t>
  </si>
  <si>
    <t>Spanish-American War (1898-1902)</t>
  </si>
  <si>
    <t>America’s Wars Total (1775 -1991)</t>
  </si>
  <si>
    <t>Daily Cases</t>
  </si>
  <si>
    <t>Runner in front ft</t>
  </si>
  <si>
    <t>Runners passing</t>
  </si>
  <si>
    <t>Path width ft min</t>
  </si>
  <si>
    <t>Path width ft typical</t>
  </si>
  <si>
    <t>Path length turns ft</t>
  </si>
  <si>
    <t>Time running hrs</t>
  </si>
  <si>
    <t>Time running max hrs</t>
  </si>
  <si>
    <t xml:space="preserve">Analysis Approach 1 - Virus Density by Distance (Electrical Engineering) </t>
  </si>
  <si>
    <t>see droplet dispersion</t>
  </si>
  <si>
    <t>Running breaths / sec</t>
  </si>
  <si>
    <t>Virus load breathing / sec</t>
  </si>
  <si>
    <t>Virus load running / sec</t>
  </si>
  <si>
    <t>Virus load sneeze / hr</t>
  </si>
  <si>
    <t>Infection Virus load</t>
  </si>
  <si>
    <t>Height ft</t>
  </si>
  <si>
    <t>Volume 1 cu-ft</t>
  </si>
  <si>
    <t>Volume 2 cu-ft</t>
  </si>
  <si>
    <t>worst case</t>
  </si>
  <si>
    <t>typical</t>
  </si>
  <si>
    <t>Note: There is no such thing as a super spreader - there is virus load source rate</t>
  </si>
  <si>
    <t>breathing</t>
  </si>
  <si>
    <t>running</t>
  </si>
  <si>
    <t>coughing</t>
  </si>
  <si>
    <t>sneeze</t>
  </si>
  <si>
    <t>Time to Reach Infection VL
Min</t>
  </si>
  <si>
    <t>Analysis Approach 2 - Virus Diffusion by Distance and Windspeed (Nuclear Engineering)</t>
  </si>
  <si>
    <t>Very Low</t>
  </si>
  <si>
    <t>see Ouside P tab</t>
  </si>
  <si>
    <t>see Droplet Dispersion tab</t>
  </si>
  <si>
    <t>2X normal breathing rate</t>
  </si>
  <si>
    <t>B Unitless constant  accounts for increase in air concentration along  vertical wall because of air stagnation created by wakes.</t>
  </si>
  <si>
    <t>If x is greater than three times the diameter of the stack or vent, use Eq. (7)</t>
  </si>
  <si>
    <t>Analysis Approach 3 - Wells-Riley Probability of infection</t>
  </si>
  <si>
    <t>Global Assumptions</t>
  </si>
  <si>
    <t>Risk w/masks
3 - 5 hour session</t>
  </si>
  <si>
    <t>Risk no masks
3 - 5 hour session</t>
  </si>
  <si>
    <t>Risk 4 hr session</t>
  </si>
  <si>
    <t>6 to 8</t>
  </si>
  <si>
    <t xml:space="preserve">Modeled Distance ft </t>
  </si>
  <si>
    <t>Virus load cough / hr</t>
  </si>
  <si>
    <t>Normal breaths / sec</t>
  </si>
  <si>
    <t>Q = outdoor air supply rate (m3/s)</t>
  </si>
  <si>
    <t>D/1,000</t>
  </si>
  <si>
    <t>Normalized chart weekly deaths</t>
  </si>
  <si>
    <t>Shifted dates to 2020 COVID-19 disaster</t>
  </si>
  <si>
    <t>Analysis Approach</t>
  </si>
  <si>
    <t>1918 flu pandemic graph located and used as reference</t>
  </si>
  <si>
    <t>Manually duplicated curve to find values</t>
  </si>
  <si>
    <t>Graphed 2020 disaster using different assumptions</t>
  </si>
  <si>
    <t>Extrapulated values to the end of the disaster curve</t>
  </si>
  <si>
    <t>1918 D rate</t>
  </si>
  <si>
    <t>2020 D rate</t>
  </si>
  <si>
    <t>D / Month</t>
  </si>
  <si>
    <t>D Total</t>
  </si>
  <si>
    <t>Exposed Population</t>
  </si>
  <si>
    <t>Vaccine effects</t>
  </si>
  <si>
    <t>Vaccine Effectiveness %</t>
  </si>
  <si>
    <t>Vaccinated %</t>
  </si>
  <si>
    <t>Naturally Immune %</t>
  </si>
  <si>
    <t>Deaths 
@ 2%</t>
  </si>
  <si>
    <t>Deaths 
@ 3%</t>
  </si>
  <si>
    <t>Deaths 
@ 3.5%</t>
  </si>
  <si>
    <t>In 2020 new starting point in fall is ignored and pattern is just followed</t>
  </si>
  <si>
    <t>In 2020 the larger population as evidenced by the fall starting piont leads to new peak</t>
  </si>
  <si>
    <t>Likely vaccine result with some natural immunity</t>
  </si>
  <si>
    <t>Unlikely vaccine result with some natural immunity</t>
  </si>
  <si>
    <t>Likely vaccine result with no natural immunity</t>
  </si>
  <si>
    <t>Unlikely vaccine result with no natural immunity</t>
  </si>
  <si>
    <t>No vaccine, natural herd immunity</t>
  </si>
  <si>
    <t>Times Better than 6 feet</t>
  </si>
  <si>
    <t>Times Worse than 6 feet</t>
  </si>
  <si>
    <t>Better than baseline</t>
  </si>
  <si>
    <t>Worse than baseline</t>
  </si>
  <si>
    <t>Outdoor Baseline</t>
  </si>
  <si>
    <t>Worse (-) or Better than baseline</t>
  </si>
  <si>
    <t>Indoor Basline 1</t>
  </si>
  <si>
    <t>Indoor Baseline 2</t>
  </si>
  <si>
    <t>Baseline Standard Guidance</t>
  </si>
  <si>
    <t>Virus Exposure Risk Factor (Ver) Baseline 1</t>
  </si>
  <si>
    <t>Virus Exposure Risk Factor (Ver) Baseline 2</t>
  </si>
  <si>
    <t>Virus Exposure Risk Factor (Ver)</t>
  </si>
  <si>
    <t>% into pandemic
(328 million)</t>
  </si>
  <si>
    <t>Virus Exposure Risk Factor</t>
  </si>
  <si>
    <t>Baseline worst case</t>
  </si>
  <si>
    <t>better than basline</t>
  </si>
  <si>
    <t>D = Virus inhaled or virus dose</t>
  </si>
  <si>
    <t>I = Inhilaion rate L/s</t>
  </si>
  <si>
    <t>C = Bioeffluent infectious aerosol concentration in the space at time t, virus/L</t>
  </si>
  <si>
    <t>t = Duration of ifectious aerosol generation, s</t>
  </si>
  <si>
    <t>p = Fraction of infected persons</t>
  </si>
  <si>
    <t>OD = Spatial volume/person, L/person</t>
  </si>
  <si>
    <t>C = p * [N/VVe] * [1-exp(-VVet/OD)]</t>
  </si>
  <si>
    <t>v = Spatial volume/person, L/person</t>
  </si>
  <si>
    <t>V = Infectious aerosol-free ventilation rate per person (HVAC outdoor air + virus filtered recirculation air + envelope infiltration air) per person, L/s per person</t>
  </si>
  <si>
    <t>Ve = efficiency of supplying ventilation air to each person's breathing zone, Ve = 1 in uniformly mixed system</t>
  </si>
  <si>
    <t>C = [N/(V*Ve) * [1-exp(-V*Ve*t/v)]</t>
  </si>
  <si>
    <t>Ve tends to be lower the higher the occupancy density. Thusthe lowest Ve's used are for a fully loaded subway car and anarrow-body aircraft (Ve = 0.65). The next lowest Ve is for astadium (Ve = 0.9). The remaining settings are assigned a Veof 1.</t>
  </si>
  <si>
    <t>D= IC = p * [NI/VVe] * {t + [OD/VVe] * [exp(-VVet/OD)-1] }  Does not make sense, ERROR?</t>
  </si>
  <si>
    <t>From October 2020</t>
  </si>
  <si>
    <t>https://www.ashrae.org/file%20library/technical%20resources/covid-19/12-19_walkinshaw.pdf</t>
  </si>
  <si>
    <t>COVID-19 and BeyondA Brief Introduction To Passenger Aircraft Cabin Air Quality</t>
  </si>
  <si>
    <t>From October 2011</t>
  </si>
  <si>
    <t>http://indoorair.ca/veft/pdf/SAE_paper_Germs_and_Flying_2011-01-2690.pdf</t>
  </si>
  <si>
    <t>Germs and Flying: Developing Ventilation SystemCriteria</t>
  </si>
  <si>
    <t>D =  IC integration =&gt; D = IC * time exposed</t>
  </si>
  <si>
    <t>TBIL = IL/(Bs * (3600/AUC) * VL)</t>
  </si>
  <si>
    <t>TBIL = IL/Vi1</t>
  </si>
  <si>
    <t>TBIL = IL/(Bae * VL)</t>
  </si>
  <si>
    <t>TBIL = IL/(Bs * Es * VL)</t>
  </si>
  <si>
    <t>AUC = AUC/Hour = Assumptions</t>
  </si>
  <si>
    <t>Bs = Breaths/Sec = Assumptions</t>
  </si>
  <si>
    <t>Es = Exposure/Sec = 3600/AUC</t>
  </si>
  <si>
    <t>Bae = Breaths/Air Exchange = Bs * Es (needed for when the Breaths/sec changes e.g. 0.5 or 2.0)</t>
  </si>
  <si>
    <t>Em = Exposure Min = (Exposure/Sec)/60 (to get a feel for exposure time)</t>
  </si>
  <si>
    <t>VL= Virus load = Assumption</t>
  </si>
  <si>
    <t>IL = Infection load = Assumption</t>
  </si>
  <si>
    <t>Vi1 = Virus inhaled (1 hr) = Bae * VL (any value above the Infection Load will lead to infection)</t>
  </si>
  <si>
    <t>Vi2 = Virus inhaled (2 hr) = Vi1 * 2</t>
  </si>
  <si>
    <t>Vi3 = Virus inhaled (3 hr) = Vi2 * 3</t>
  </si>
  <si>
    <t>TBIL = hr before infected load = IL/Vi1</t>
  </si>
  <si>
    <t>C1 = infection event (breathing, cough, sneeze)</t>
  </si>
  <si>
    <t>V1 = lung capacity volume</t>
  </si>
  <si>
    <t>C2 = infection level (dose needed)</t>
  </si>
  <si>
    <t>V2 = physical space volume</t>
  </si>
  <si>
    <t>AUC = Required Air Exchanges (per hour) = 3600/Ids</t>
  </si>
  <si>
    <t>Ids = Infected Dose Received (seconds) = Idb</t>
  </si>
  <si>
    <t>Idb = Infected Dose Received (breaths) = IL/1000</t>
  </si>
  <si>
    <t>B9</t>
  </si>
  <si>
    <t>B11</t>
  </si>
  <si>
    <t>B12</t>
  </si>
  <si>
    <t>B14</t>
  </si>
  <si>
    <t>B16</t>
  </si>
  <si>
    <t>B20</t>
  </si>
  <si>
    <t>B21</t>
  </si>
  <si>
    <t>B22</t>
  </si>
  <si>
    <t>IS = Infected Sneeze/cu ft (droplets) = IE * TL</t>
  </si>
  <si>
    <t>IL = Infection Level (droplets) = assumption</t>
  </si>
  <si>
    <t>VIL = IS/IL</t>
  </si>
  <si>
    <t>VIL = IE*TL/IL</t>
  </si>
  <si>
    <t>V2 = C1*V1/C2</t>
  </si>
  <si>
    <t>AUC = 3600/(IL/1000)</t>
  </si>
  <si>
    <t>Isb = Infected Single Breath (virus load) = assumption</t>
  </si>
  <si>
    <t>Bs = Breaths / Second = assumption</t>
  </si>
  <si>
    <t>Idh = Infected Droplets / Hour = Isb * Bs * 3600</t>
  </si>
  <si>
    <t>AUC = Required Air Exchanges (per hour) = Idh / IL</t>
  </si>
  <si>
    <t>Svl = Seconds Needed to Reach Virus Load = IL / (Isb * Bs)</t>
  </si>
  <si>
    <t>Ip = Infection percentage = assumption</t>
  </si>
  <si>
    <t>AUC = Required Air Exchanges / Hour = Idh / IL</t>
  </si>
  <si>
    <t>VL = Virus Load = Ed * Ip</t>
  </si>
  <si>
    <t>Ed = Event Sneeze (droplets) = assumption</t>
  </si>
  <si>
    <t>Idh = Infected Droplets / Hour = VL * Eth</t>
  </si>
  <si>
    <t>Epe = Event - Coughs / Event = assumption</t>
  </si>
  <si>
    <t>Ed = Event - Cough (droplets) = assumption</t>
  </si>
  <si>
    <t>Eph = Event - Cough Events / Hour = assumption</t>
  </si>
  <si>
    <t>Eth = Event - Total Coughs / Hour = Epe * Eph</t>
  </si>
  <si>
    <t>Epe = Event - Sneeze / Event = assumption</t>
  </si>
  <si>
    <t xml:space="preserve">Eph = Event - Sneeze Events / Hour = assumption </t>
  </si>
  <si>
    <t>Eth = Event - Total Sneeze / Hour = Epe * Eph</t>
  </si>
  <si>
    <t xml:space="preserve">Eph = Event - Events / Hour = assumption </t>
  </si>
  <si>
    <t>N = Number of People = assumption</t>
  </si>
  <si>
    <t>Pi = Probability of Infection = Pie / 60</t>
  </si>
  <si>
    <t>Pie = Potential Infection Exposure (min) = 60 - AUC</t>
  </si>
  <si>
    <t>AUC = Required Air Exchanges / Hour = Eth * N</t>
  </si>
  <si>
    <t>AUC = Eth * N</t>
  </si>
  <si>
    <t>AUC = Idh / IL = Isb * Bs *3600 / IL</t>
  </si>
  <si>
    <t>AUC = Idh/IL = Ed * Ip * Epe * Eph / IL</t>
  </si>
  <si>
    <t>AUC = Idh / IL = Ed * Ip * Epe * Eph / IL</t>
  </si>
  <si>
    <t>V1 = TL = Total lung capacity (cu ft) = assumption</t>
  </si>
  <si>
    <t>C1 = IE = Infection event = Infected Sneeze (droplets) = assumption</t>
  </si>
  <si>
    <t>C2 = IL = Infection Level (droplets) = assumption</t>
  </si>
  <si>
    <t>V2 = VIL = volume needed for infection level (cu ft) = IS/IL</t>
  </si>
  <si>
    <t>AUC = Exchanges / Hour = assumptions</t>
  </si>
  <si>
    <t>Bpm = Breaths / Min = assumption</t>
  </si>
  <si>
    <t>Bph = Breaths / Hour = Bpm * 60</t>
  </si>
  <si>
    <t>Bit = Breaths / Infection Threshold = assumption</t>
  </si>
  <si>
    <t>Sit = Seconds / Infection Threshold = 1200 / 60</t>
  </si>
  <si>
    <t>IL = Infection Virus Load = assumption</t>
  </si>
  <si>
    <t>Rvl = Room Virus Load = IL / Sit</t>
  </si>
  <si>
    <t>e</t>
  </si>
  <si>
    <t>h</t>
  </si>
  <si>
    <t>s</t>
  </si>
  <si>
    <t>it</t>
  </si>
  <si>
    <t>b</t>
  </si>
  <si>
    <t>Bps = Breaths / Sec</t>
  </si>
  <si>
    <t>Bph = Breaths / Hour</t>
  </si>
  <si>
    <t>Bvi = Breaths / Virus Infection</t>
  </si>
  <si>
    <t>Poe = (Bps/AUC)/Bvi</t>
  </si>
  <si>
    <t>Poi = Probability of Infection = 1-AUC * Sit/Bph</t>
  </si>
  <si>
    <t>N
virus/sec</t>
  </si>
  <si>
    <t>t
sec</t>
  </si>
  <si>
    <t>V
L/Sec 
per person</t>
  </si>
  <si>
    <t>AUC
per hr</t>
  </si>
  <si>
    <t>AUC
per sec</t>
  </si>
  <si>
    <t>t
hr</t>
  </si>
  <si>
    <t>V*t/v</t>
  </si>
  <si>
    <t>N*t/V</t>
  </si>
  <si>
    <t>liters/hr</t>
  </si>
  <si>
    <t>cu-m/hr</t>
  </si>
  <si>
    <t>Outdoor Air 
Changes / Hr (ACH)</t>
  </si>
  <si>
    <t>Indoor Air Changes / Hr</t>
  </si>
  <si>
    <t>Subway Car</t>
  </si>
  <si>
    <t>Does not make sense, a given is wrong</t>
  </si>
  <si>
    <t>Wide Body Aircraft</t>
  </si>
  <si>
    <t>Classroom Grades 9+</t>
  </si>
  <si>
    <t>Auditorium Theater</t>
  </si>
  <si>
    <t>Classroom Grades 3-8</t>
  </si>
  <si>
    <t>Stadium</t>
  </si>
  <si>
    <t>v</t>
  </si>
  <si>
    <t>V</t>
  </si>
  <si>
    <t>t = Duration of infectious aerosol generation, s</t>
  </si>
  <si>
    <t>t</t>
  </si>
  <si>
    <t>Exposure Time</t>
  </si>
  <si>
    <t>Ve</t>
  </si>
  <si>
    <t>V*Ve/v</t>
  </si>
  <si>
    <t>V*Ve</t>
  </si>
  <si>
    <t>ACH</t>
  </si>
  <si>
    <t>Outside Air Changes All Sources</t>
  </si>
  <si>
    <t>Infection Free Outside Air (L/s/p</t>
  </si>
  <si>
    <t>HVAC Recirc air (L/s/p)</t>
  </si>
  <si>
    <t>Filter removal of viable pathogens %</t>
  </si>
  <si>
    <t>Infiltration (ACH)</t>
  </si>
  <si>
    <t>HVAC conditioning air (L/s/m^2</t>
  </si>
  <si>
    <t>Occupancy (persons/1000 m^2 floor area</t>
  </si>
  <si>
    <t>Average ceiling height (m)</t>
  </si>
  <si>
    <t>Infection free Infiltration air (L/s/p)</t>
  </si>
  <si>
    <t>V/v 
units match</t>
  </si>
  <si>
    <t>Total air changes
(ACH)</t>
  </si>
  <si>
    <t>1 cu-m = 1000 liters</t>
  </si>
  <si>
    <t>C1
Virus/L</t>
  </si>
  <si>
    <t>eq1</t>
  </si>
  <si>
    <t>eq2</t>
  </si>
  <si>
    <t>eq1a</t>
  </si>
  <si>
    <t>C1 = [N/(V*Ve) * [1-exp(-V*Ve*t/v)]</t>
  </si>
  <si>
    <t>I
Inhalation Rate
L</t>
  </si>
  <si>
    <t>p</t>
  </si>
  <si>
    <t>C1 = [N/(VVe) * [1-exp(-VVet/v)]</t>
  </si>
  <si>
    <t>D= IC = I*p* [N/VVe] * {t + [v/VVe] * [exp(-VVet/v)-1] }</t>
  </si>
  <si>
    <t>C = [N/VVe] * {t + [v/VVe] * [exp(-VVet/v)-1] }</t>
  </si>
  <si>
    <t>C = [N/VVe] * t +  [N/VVe]*[v/VVe] * [exp(-VVet/v)-1] }</t>
  </si>
  <si>
    <t>D1
Virus Inhaled</t>
  </si>
  <si>
    <t>D1 =  IC integration =&gt; D = IC * time exposed ?</t>
  </si>
  <si>
    <t>D
Virus Inhaled</t>
  </si>
  <si>
    <t>2 masks 
@ 75% each = 1/16</t>
  </si>
  <si>
    <t>CA is the ground level air concentration at downwind distance x (Bq/m3),</t>
  </si>
  <si>
    <t>Qi is the average discharge rate for radionuclide i (Bq/s),</t>
  </si>
  <si>
    <t>V is the volumetric air flow rate of the vent or stack at the point of release (m3/s),</t>
  </si>
  <si>
    <t>CA = PpQi/V</t>
  </si>
  <si>
    <t>Pp is the fraction of the time the wind blows towards the receptor of interest (dimensionless).</t>
  </si>
  <si>
    <t>1 cu-m = 35.3 cu-ft</t>
  </si>
  <si>
    <t>N = Rate of bioeffluent infectious aerosol generation/person, virus/s per person</t>
  </si>
  <si>
    <t>Effective
AUC</t>
  </si>
  <si>
    <t>v
vol/person
cu-m</t>
  </si>
  <si>
    <t>v
vol per person
cu-m</t>
  </si>
  <si>
    <t>Spatial volume/person, cu-m</t>
  </si>
  <si>
    <t>Occupant
Density 
cu-m per person</t>
  </si>
  <si>
    <t>Virus-Free Outdoor and Filtered Air Per Person
L/sec</t>
  </si>
  <si>
    <t>v
vol per person
L</t>
  </si>
  <si>
    <t>V/v
note units do not match</t>
  </si>
  <si>
    <t>N/V</t>
  </si>
  <si>
    <t>v
vol per person
cu-ft</t>
  </si>
  <si>
    <t>Infected when D &gt; 1000</t>
  </si>
  <si>
    <t>D= IC = Ip * [NI/VVe] * {t + [OD/VVe] * [exp(-VVet/OD)-1] }</t>
  </si>
  <si>
    <t>1 mask 
@ 75% each = 1/4</t>
  </si>
  <si>
    <t>Infection Free Ventilation air all sources 
L/sec</t>
  </si>
  <si>
    <t xml:space="preserve">V=V*Ve
Infection Free Ventilation air all sources 
L/Sec </t>
  </si>
  <si>
    <t>See Nuclear Engineering</t>
  </si>
  <si>
    <t>COVID-19 and Beyond A Brief Introduction To Passenger Aircraft Cabin Air Quality, ASHRAE Journal, October 2020. webpage https://www.ashrae.org/file%20library/technical%20resources/covid-19/12-19_walkinshaw.pdf</t>
  </si>
  <si>
    <t>Germs and Flying: Developing Ventilation System Criteria, SAE International, October 18, 2011. webpage http://indoorair.ca/veft/pdf/SAE_paper_Germs_and_Flying_2011-01-2690.pdf</t>
  </si>
  <si>
    <t>Narrow Body Aircraft</t>
  </si>
  <si>
    <t>Ver
Baseline/D</t>
  </si>
  <si>
    <t>Benefits from UV:</t>
  </si>
  <si>
    <t>High Efficiency</t>
  </si>
  <si>
    <t>Name</t>
  </si>
  <si>
    <t>Vibrio Cholera</t>
  </si>
  <si>
    <t>Pseudo monas Bacteria</t>
  </si>
  <si>
    <t>Tetanus</t>
  </si>
  <si>
    <t>Salmonella</t>
  </si>
  <si>
    <t>Bacteria</t>
  </si>
  <si>
    <t>Dysentery Bacillus</t>
  </si>
  <si>
    <t>Fever Bacteria</t>
  </si>
  <si>
    <t>Hook-side Pylon Bacillus</t>
  </si>
  <si>
    <t>Shigella</t>
  </si>
  <si>
    <t>Legion Ella</t>
  </si>
  <si>
    <t>Staphylococcus</t>
  </si>
  <si>
    <t>Micro co</t>
  </si>
  <si>
    <t>0.4-1.53</t>
  </si>
  <si>
    <t>Streptococcus</t>
  </si>
  <si>
    <t>Adenovirus</t>
  </si>
  <si>
    <t>Influenza Virus</t>
  </si>
  <si>
    <t>Phagocyte Cell Virus</t>
  </si>
  <si>
    <t>Polio Virus</t>
  </si>
  <si>
    <t>Virus</t>
  </si>
  <si>
    <t>Coxsackie Virus</t>
  </si>
  <si>
    <t>Rota Virus</t>
  </si>
  <si>
    <t>ECHO Virus</t>
  </si>
  <si>
    <t>Tobacco Mosaic Virus</t>
  </si>
  <si>
    <t>ECHO Virus 1</t>
  </si>
  <si>
    <t>Hepatitis B Virus</t>
  </si>
  <si>
    <t>Soft Spores</t>
  </si>
  <si>
    <t>Aspergillums</t>
  </si>
  <si>
    <t>0.73-8.80</t>
  </si>
  <si>
    <t>2.93-0.87</t>
  </si>
  <si>
    <t>Dung Fungi</t>
  </si>
  <si>
    <t>2.00-3.33</t>
  </si>
  <si>
    <t>0.23-4.67</t>
  </si>
  <si>
    <t>Blue-green algae</t>
  </si>
  <si>
    <t>Paramecium</t>
  </si>
  <si>
    <t>Chlorella</t>
  </si>
  <si>
    <t>Green Algae</t>
  </si>
  <si>
    <t>Line Ovum</t>
  </si>
  <si>
    <t>Protozoan</t>
  </si>
  <si>
    <t>Pang I Disuse</t>
  </si>
  <si>
    <t>Infectious Pancreatic Necrosis</t>
  </si>
  <si>
    <t>Leukodennia</t>
  </si>
  <si>
    <t>• Environmentally Friendly, Safe and Reliable.</t>
  </si>
  <si>
    <t>• Cost Effective.</t>
  </si>
  <si>
    <t>• Low Capital and Operating Costs.</t>
  </si>
  <si>
    <t>• Easy Operation and Maintenance.</t>
  </si>
  <si>
    <t>• Wide Application.</t>
  </si>
  <si>
    <t>• Not Changing the taste, order, PH conductivity or chemical properties of the air and water.</t>
  </si>
  <si>
    <t>100% kill (s)</t>
  </si>
  <si>
    <t>Anthraces</t>
  </si>
  <si>
    <t>Tuberculosis</t>
  </si>
  <si>
    <t xml:space="preserve">Diphtheria </t>
  </si>
  <si>
    <t>Clostridium Botulism</t>
  </si>
  <si>
    <t>Colibacillus</t>
  </si>
  <si>
    <t>Mold Spores</t>
  </si>
  <si>
    <t>Aspergillums Niger</t>
  </si>
  <si>
    <t>Penicillium</t>
  </si>
  <si>
    <t xml:space="preserve">Penicillium Chrysogenum </t>
  </si>
  <si>
    <t>Mucor</t>
  </si>
  <si>
    <t>Other Fungi Penicillium</t>
  </si>
  <si>
    <t>Water Algae</t>
  </si>
  <si>
    <t>4-6.7</t>
  </si>
  <si>
    <t>Fish Disease</t>
  </si>
  <si>
    <t>Hemorrhagic</t>
  </si>
  <si>
    <t>Source: https://lightbest.en.alibaba.com</t>
  </si>
  <si>
    <t>10-40</t>
  </si>
  <si>
    <t>Note: 1 sq. ft. = 929.03 sq. cm.</t>
  </si>
  <si>
    <t>10-20 milliwatts per sq. ft. ~ 10-20 microwatts per sq. cm.</t>
  </si>
  <si>
    <t>0.2 to 0.5 milliwatts per sq. ft. ~ .2 to .5 microwatts per sq. cm.</t>
  </si>
  <si>
    <t>Source: Effect of Ultra-violet Irradiation of Classrooms on Spread of Measles in Large Rural Central Schools, May 1947. NewYork State Department of Health, Albany ,N.Y. webpage https://www.ncbi.nlm.nih.gov/pmc/articles/PMC1623610/pdf/amjphnation01116-0034.pdf</t>
  </si>
  <si>
    <t>uW/cm2</t>
  </si>
  <si>
    <t>kill (s)</t>
  </si>
  <si>
    <t>kill (h)</t>
  </si>
  <si>
    <t>This analysis shows how long the virus needs to be exposed with lower power levels, assumes linear kill</t>
  </si>
  <si>
    <t>Assumes 100% kill</t>
  </si>
  <si>
    <t>10-20 uW/cm2 was used in the original studies 1936 - 1943</t>
  </si>
  <si>
    <t>Design to criteria</t>
  </si>
  <si>
    <t>• No process by-products to health without need to add chemicals.</t>
  </si>
  <si>
    <t>HVAC Design Solutions</t>
  </si>
  <si>
    <t>UV-C Design Solutions</t>
  </si>
  <si>
    <t>Whole House UV-C</t>
  </si>
  <si>
    <t>Living room</t>
  </si>
  <si>
    <t>Bedroom</t>
  </si>
  <si>
    <t>Rec Room</t>
  </si>
  <si>
    <t>Powder Room</t>
  </si>
  <si>
    <t># Lamps</t>
  </si>
  <si>
    <t>Lamp Type</t>
  </si>
  <si>
    <t>Instant Start (Slimline) Germicidal Lamps-T5 SP_DE Instant start lamps-Ozone free</t>
  </si>
  <si>
    <r>
      <t> </t>
    </r>
    <r>
      <rPr>
        <b/>
        <sz val="11"/>
        <color theme="1"/>
        <rFont val="Calibri"/>
        <family val="2"/>
        <scheme val="minor"/>
      </rPr>
      <t>(W)</t>
    </r>
  </si>
  <si>
    <t>G10T5l</t>
  </si>
  <si>
    <t>G36T5l</t>
  </si>
  <si>
    <t>G48T5l</t>
  </si>
  <si>
    <t>G64T5l</t>
  </si>
  <si>
    <t>Analysis to determine uW/cm2</t>
  </si>
  <si>
    <t>Diameter
(mm)</t>
  </si>
  <si>
    <t>Length
(mm)</t>
  </si>
  <si>
    <t> Arc Length
(mm)</t>
  </si>
  <si>
    <t>Power
(W)</t>
  </si>
  <si>
    <t>Current
(mA)</t>
  </si>
  <si>
    <t>voltage
(V)</t>
  </si>
  <si>
    <t>Rated Life
(hrs)</t>
  </si>
  <si>
    <t>UV output at 1 meter (uw/cm2)</t>
  </si>
  <si>
    <t>Model
Number</t>
  </si>
  <si>
    <t xml:space="preserve">Vendor:  Lightbest </t>
  </si>
  <si>
    <t>https://lightbest.en.alibaba.com</t>
  </si>
  <si>
    <t>no found</t>
  </si>
  <si>
    <t>Lamp Holders</t>
  </si>
  <si>
    <t>Balast</t>
  </si>
  <si>
    <t>Custom Enclosure</t>
  </si>
  <si>
    <t>Total</t>
  </si>
  <si>
    <t>Light Cost
$7-$15</t>
  </si>
  <si>
    <t>Note: All costs are quantity buys</t>
  </si>
  <si>
    <t>Bacillus Typhi murium</t>
  </si>
  <si>
    <t>Length
(inch)</t>
  </si>
  <si>
    <t>1 inch = 0.0393701 mm</t>
  </si>
  <si>
    <t>Unit
Cost</t>
  </si>
  <si>
    <t>Ballroom</t>
  </si>
  <si>
    <t>Library</t>
  </si>
  <si>
    <t>Sitting Area</t>
  </si>
  <si>
    <t>Conference Room</t>
  </si>
  <si>
    <t>Craft Room</t>
  </si>
  <si>
    <t>Billiards Room</t>
  </si>
  <si>
    <t>Game Room</t>
  </si>
  <si>
    <t>Exercise Room</t>
  </si>
  <si>
    <t>Indoor Pool</t>
  </si>
  <si>
    <t>Locker Room 1</t>
  </si>
  <si>
    <t>Locker Room 2</t>
  </si>
  <si>
    <t>Powder Room 1</t>
  </si>
  <si>
    <t>Powder Room 2</t>
  </si>
  <si>
    <t>Reception Area</t>
  </si>
  <si>
    <t>Hallway</t>
  </si>
  <si>
    <t>Note: This is based on using component parts from Lightbest Co, LTD</t>
  </si>
  <si>
    <t>UV Measurement Tool</t>
  </si>
  <si>
    <t>uw/cm2</t>
  </si>
  <si>
    <t>Unit Cost</t>
  </si>
  <si>
    <t>Models</t>
  </si>
  <si>
    <t>Voltage</t>
  </si>
  <si>
    <t>Unit Width</t>
  </si>
  <si>
    <t>Depth</t>
  </si>
  <si>
    <t>Price</t>
  </si>
  <si>
    <t># of Lamps</t>
  </si>
  <si>
    <t>LIND24-EVO 40-0125B</t>
  </si>
  <si>
    <t>LIND24-EVO-2PM 40-0126C</t>
  </si>
  <si>
    <t>Unit Length Inch</t>
  </si>
  <si>
    <t>Total UV Output W</t>
  </si>
  <si>
    <t>Power Usage W</t>
  </si>
  <si>
    <t>Hygeaire Ultraviolet Indirect Air Disinfection Fixtures</t>
  </si>
  <si>
    <t>https://www.buyultraviolet.com/hygeaire-uv-indirect-air-disinfection-units</t>
  </si>
  <si>
    <t>https://www.lumalier.com/index.html</t>
  </si>
  <si>
    <t>https://www.lumalier.com/products/upperair.html</t>
  </si>
  <si>
    <t>This corner mount is for use in small rooms where available wall space is at a premium. The effective coverage area for the CM-218 unit is 110 sq. feet.  Model CM uses 2 Philips PL-L 18W UV lamps.</t>
  </si>
  <si>
    <t xml:space="preserve">GC Model This model is for use in large open spaces where ceiling mounting is preferred.  The effective coverage area of the GC-136 is 240 sq. feet and the GC-236 is 480 sq. feet and the unit uses 1 or 2 Philips PL-L 36W UV Lamps. </t>
  </si>
  <si>
    <t>GL Model These fixtures are for use with high ceilings allowing for an open style UV fixture. The effective coverage area for GL-118 is 110 sq. ft., GL-218 is 220 sq. ft., and GL-418 is 440 sq. ft. and each model uses 1, 2 or 4 Philips PL-L18W UV lamps.</t>
  </si>
  <si>
    <t>https://www.novaelectronics.net/files/UpperAir.pdf</t>
  </si>
  <si>
    <t>WM Model These fixtures are for use in areas where wall mounting is preferred. The effective coverage area for the WM-136 is 240 sq. feet and the WM236 is 480 sq. feet. Model WM uses either 1 or 2 Philips PL-L 36W UV lamps.</t>
  </si>
  <si>
    <t xml:space="preserve">ASD ModelThe Evergreen ASD fixture is an advanced, dual-purpose Air and Surface Disinfection unit engineered for overall pathogen load reduction.  ASD fixtures provide high-level, passive airborne pathogen reduction into high-risk occupied spaces; plus treat all surfaces to achieve high-log surface (fomite) decontamination in unoccupied spaces.The ASD fixed-units are simple-to-operate, wall-mounted fixtures that easily replace expensive, roll-in, portable surface disinfection robots with a simple, labor-free system. </t>
  </si>
  <si>
    <t>2x2 ModelThe EvergreenUV 2x2 upper air diffuser unit combines dynamic and passive UV-C disinfection for your high-risk areas. This unit is engineered to use existing 2x2 supply diffuser or use an internal fan along with upper air UVC for stand alone, high rate pathogen reduction.</t>
  </si>
  <si>
    <t># Units</t>
  </si>
  <si>
    <t>Unit Type</t>
  </si>
  <si>
    <t>Len (in)</t>
  </si>
  <si>
    <t>TB &amp; RAM Air Cleaners Technical Specifications</t>
  </si>
  <si>
    <t> Air Cleaner Model</t>
  </si>
  <si>
    <t>TB-12-W</t>
  </si>
  <si>
    <t>TB-24-W</t>
  </si>
  <si>
    <t>TB-36-W</t>
  </si>
  <si>
    <t>RAM36-2</t>
  </si>
  <si>
    <t> UV Lamps</t>
  </si>
  <si>
    <t>SBL350*</t>
  </si>
  <si>
    <t> SBL325</t>
  </si>
  <si>
    <t> SBL005</t>
  </si>
  <si>
    <t>SBL420 (2)</t>
  </si>
  <si>
    <t> UV Lamp Life</t>
  </si>
  <si>
    <t>12,000 hours</t>
  </si>
  <si>
    <t>17,000 hours</t>
  </si>
  <si>
    <t> UV Lamp Intensity</t>
  </si>
  <si>
    <t>50 µW/cm²</t>
  </si>
  <si>
    <t>100 µW/cm²</t>
  </si>
  <si>
    <t>175 µW/cm²</t>
  </si>
  <si>
    <t>120 µW/cm²</t>
  </si>
  <si>
    <t> Air Movement</t>
  </si>
  <si>
    <t>Convection</t>
  </si>
  <si>
    <t>100 CFM</t>
  </si>
  <si>
    <t> Electrical</t>
  </si>
  <si>
    <t>120V, 60Hz, 3Amp / 220V, 50/60Hz</t>
  </si>
  <si>
    <t> Construction</t>
  </si>
  <si>
    <t>All TB air cleaners are made of hospital grade stainless steel</t>
  </si>
  <si>
    <t> Sq. Ft. Coverage</t>
  </si>
  <si>
    <t>75 sq. ft.</t>
  </si>
  <si>
    <t>200 sq. ft.</t>
  </si>
  <si>
    <t>300 sq. ft.</t>
  </si>
  <si>
    <t> Lamp replacement</t>
  </si>
  <si>
    <t>UV lamp must be replaced before the end of the effective lamp life.</t>
  </si>
  <si>
    <t>The UV lamp will continue to operate longer but the UV output deteriorates rapidly.</t>
  </si>
  <si>
    <t>* SBL350 UV lamp replaced SBL060</t>
  </si>
  <si>
    <t>https://www.americanairandwater.com/uf/tb_uf.htm</t>
  </si>
  <si>
    <t>UV-C rays can kill microorganisms including bacteria, viruses. fungi and protozoa such as Cryptosporidium, Giardia, SARS, H5N 1 and so on within one second (see chart 1-Disinfection time @ 30000 uW/cm2 or 30mJ/cm2)</t>
  </si>
  <si>
    <t>PET (seconds) = REL (6000 uJ/cm2 at 254 nm) / Measured irradiance level at 254 nm (uW/cm2)</t>
  </si>
  <si>
    <t>where: At 254 nm, the CDC/NIOSH REL is 6 mJ/cm2 (6000 uJ/cm2)</t>
  </si>
  <si>
    <t>The following table shows the PET values for different scenarios. [4]</t>
  </si>
  <si>
    <t>PET</t>
  </si>
  <si>
    <t>(Units given)</t>
  </si>
  <si>
    <t>(Sec)</t>
  </si>
  <si>
    <t>Effective Irradiance</t>
  </si>
  <si>
    <t>(uW/cm2)</t>
  </si>
  <si>
    <t>8 h</t>
  </si>
  <si>
    <t>4 h</t>
  </si>
  <si>
    <t>2 h</t>
  </si>
  <si>
    <t>1 h</t>
  </si>
  <si>
    <t>30 min</t>
  </si>
  <si>
    <t>15 min</t>
  </si>
  <si>
    <t>10 min</t>
  </si>
  <si>
    <t>5 min</t>
  </si>
  <si>
    <t>1 min</t>
  </si>
  <si>
    <t>30 sec</t>
  </si>
  <si>
    <t>10 sec</t>
  </si>
  <si>
    <t>1 sec</t>
  </si>
  <si>
    <t>0.5 sec</t>
  </si>
  <si>
    <t>0.1 sec</t>
  </si>
  <si>
    <t>Basic Upper-Room Ultraviolet Germicidal Irradiation Guidelines for Healthcare Settings, Department of Health and Human Services Centers for Disease Control and Prevention National Institute for Occupational Safety and Health, DHHS (NIOSH), Publication No. 2009-105 March 2009. webpage https://www.cdc.gov/niosh/docs/2009-105/pdfs/2009-105.pdf</t>
  </si>
  <si>
    <t>HCov-229E</t>
  </si>
  <si>
    <t>HCov-OC43</t>
  </si>
  <si>
    <t>Influenza A (H1N1)</t>
  </si>
  <si>
    <t>Far-UVC light efficiently and safely inactivatesairborne human coronaviruses, Center for Radiological Research, Columbia University Irving Medical Center, Under Review. webpage https://www.researchsquare.com/article/rs-25728, https://assets.researchsquare.com/files/rs-25728/v1/manuscript.pdf</t>
  </si>
  <si>
    <t>1 uW = 1 uJ/sec</t>
  </si>
  <si>
    <t>1 watt = 1 Joule/sec = 1 W = 1 J/s</t>
  </si>
  <si>
    <t>Virus &amp; Inactivation %</t>
  </si>
  <si>
    <t>mJ/cm2 per 20 min</t>
  </si>
  <si>
    <t>uJ/cm2/20 min</t>
  </si>
  <si>
    <t>1mJ = 1,000 uJ</t>
  </si>
  <si>
    <t>uj/cm2/sec = uW</t>
  </si>
  <si>
    <t>mJ/cm2/hour</t>
  </si>
  <si>
    <t>Max exposure</t>
  </si>
  <si>
    <t>uj/cm2/sec = uW will inactivate virus in 20 min</t>
  </si>
  <si>
    <t>Other vendors:</t>
  </si>
  <si>
    <t>https://www.larsonelectronics.com/</t>
  </si>
  <si>
    <t>https://www.larsonelectronics.com/product/268798/40w-far-uv-sanitation-light-1-222-nm-uvc-excimer-lamp-wall-mount-w-2-6-adjustable-arms</t>
  </si>
  <si>
    <t>https://www.larsonelectronics.com/product/268737/far-uv-recessed-8-can-light-1-10w-microplasma-board-222-nm-uvc-sanitation-recessed-mount</t>
  </si>
  <si>
    <t>40W Far-UV Sanitation Light - (1) 222 nm UVC Excimer Lamp - Wall Mount</t>
  </si>
  <si>
    <t>Cost</t>
  </si>
  <si>
    <t>Far-UV Recessed 8" Can Light - 10W Microplasma Board, 222 nm UVC Sanitation - Recessed Mount</t>
  </si>
  <si>
    <t>Watts</t>
  </si>
  <si>
    <t>uW/CM2</t>
  </si>
  <si>
    <t>40 uW/cm2 @ 1.57"</t>
  </si>
  <si>
    <t>Power and power density at a distance are not consistent</t>
  </si>
  <si>
    <t>Incomplete specs</t>
  </si>
  <si>
    <t>This is based on fixtures from:</t>
  </si>
  <si>
    <t xml:space="preserve">IND-AR2-UML-FUVC-EX-6-1L-V1 Sanitation Light </t>
  </si>
  <si>
    <t>IND-CDL-RD-8-FUVC-MP-1L-V1 Far-UV Sanitation Light</t>
  </si>
  <si>
    <t>TBD</t>
  </si>
  <si>
    <t>Portable moveable fixture</t>
  </si>
  <si>
    <t>Use Portable moveable fixture</t>
  </si>
  <si>
    <t>Period Life Table, 2011</t>
  </si>
  <si>
    <t>Exact</t>
  </si>
  <si>
    <t>age</t>
  </si>
  <si>
    <t>Death</t>
  </si>
  <si>
    <t>Number of</t>
  </si>
  <si>
    <t>Life</t>
  </si>
  <si>
    <t>COVID
Death</t>
  </si>
  <si>
    <t>Number of Lives</t>
  </si>
  <si>
    <t>Number Of Lives</t>
  </si>
  <si>
    <t>probability a</t>
  </si>
  <si>
    <t>lives b</t>
  </si>
  <si>
    <t>expectancy</t>
  </si>
  <si>
    <t>Prob</t>
  </si>
  <si>
    <t>COVID Only</t>
  </si>
  <si>
    <t>with COVID</t>
  </si>
  <si>
    <r>
      <t xml:space="preserve">  </t>
    </r>
    <r>
      <rPr>
        <vertAlign val="superscript"/>
        <sz val="7.5"/>
        <color theme="1"/>
        <rFont val="Calibri"/>
        <family val="2"/>
        <scheme val="minor"/>
      </rPr>
      <t>a</t>
    </r>
    <r>
      <rPr>
        <sz val="7.5"/>
        <color theme="1"/>
        <rFont val="Calibri"/>
        <family val="2"/>
        <scheme val="minor"/>
      </rPr>
      <t xml:space="preserve"> Probability of dying within one year.</t>
    </r>
  </si>
  <si>
    <r>
      <t>   </t>
    </r>
    <r>
      <rPr>
        <vertAlign val="superscript"/>
        <sz val="7.5"/>
        <color theme="1"/>
        <rFont val="Calibri"/>
        <family val="2"/>
        <scheme val="minor"/>
      </rPr>
      <t>b</t>
    </r>
    <r>
      <rPr>
        <sz val="7.5"/>
        <color theme="1"/>
        <rFont val="Calibri"/>
        <family val="2"/>
        <scheme val="minor"/>
      </rPr>
      <t xml:space="preserve">Number of survivors out of 100,000 born alive. </t>
    </r>
  </si>
  <si>
    <t>https://lightbest.en.alibaba.com/product/62592341286-803080602/G10T5L_17w_uv_254nm_sterilization_lamp_uv_lamp.html</t>
  </si>
  <si>
    <t>UV-C  or FAR UV-222 Kill / Inactivate</t>
  </si>
  <si>
    <t>Deaths @ 3.5% (With UV)</t>
  </si>
  <si>
    <t>Ventilation Effectiveness 4 AUC *</t>
  </si>
  <si>
    <t xml:space="preserve">* See section Wells-Riley Summary, 1 hour, No Mask, 10,800 cu-ft scenario. </t>
  </si>
  <si>
    <t>Deaths @ 3.5% (With UV + Ventilation)</t>
  </si>
  <si>
    <t>Remaining Population</t>
  </si>
  <si>
    <t>Vaccinated Population</t>
  </si>
  <si>
    <t>check</t>
  </si>
  <si>
    <t>Unvaccinated Population</t>
  </si>
  <si>
    <t>Country,</t>
  </si>
  <si>
    <t>Other</t>
  </si>
  <si>
    <t>Cases</t>
  </si>
  <si>
    <t>New</t>
  </si>
  <si>
    <t>Recovered</t>
  </si>
  <si>
    <t>Active</t>
  </si>
  <si>
    <t>Serious,</t>
  </si>
  <si>
    <t>Critical</t>
  </si>
  <si>
    <t>Tot Cases/</t>
  </si>
  <si>
    <t>1M pop</t>
  </si>
  <si>
    <t>Deaths/</t>
  </si>
  <si>
    <t>Tests</t>
  </si>
  <si>
    <t>Tests/</t>
  </si>
  <si>
    <t>Réunion</t>
  </si>
  <si>
    <t>Curaçao</t>
  </si>
  <si>
    <t xml:space="preserve">Brunei </t>
  </si>
  <si>
    <t>Solomon Islands</t>
  </si>
  <si>
    <t>Marshall Islands</t>
  </si>
  <si>
    <t>Wallis and Futuna</t>
  </si>
  <si>
    <t>Samoa</t>
  </si>
  <si>
    <t>Vanuatu</t>
  </si>
  <si>
    <t>Highlighted in green</t>
  </si>
  <si>
    <t>Highlighted in grey</t>
  </si>
  <si>
    <t>[back to top ↑]</t>
  </si>
  <si>
    <t>https://www.worldometers.info/coronavirus/</t>
  </si>
  <si>
    <t>Students / classroom assumption</t>
  </si>
  <si>
    <t>Classrooms</t>
  </si>
  <si>
    <t>UV Lights / classroom</t>
  </si>
  <si>
    <t>UV Cost</t>
  </si>
  <si>
    <t>UV Cost Per Classroom</t>
  </si>
  <si>
    <t>Classroom square feet</t>
  </si>
  <si>
    <t>Cost per square foot</t>
  </si>
  <si>
    <t>Classroom total square feet</t>
  </si>
  <si>
    <t>https://www.thebalance.com/what-is-commercial-real-estate-3305914</t>
  </si>
  <si>
    <t>Commercial real estate is any property owned for the purpose of producing income. There is about $6 trillion worth of commercial real estate in the United States. Here are the five largest categories of commercial real estate.</t>
  </si>
  <si>
    <t>1. Retail includes indoor shopping malls, outdoor strip malls, and big box retailers. It also includes grocery stores and restaurants. Its value is around $2.1 trillion or 36 percent of the total value of commercial real estate. It consists of at least 9.5 billion square feet of shopping center space.</t>
  </si>
  <si>
    <t>3. Office buildings include everything from Manhattan skyscrapers to your lawyer's office. There are roughly 4 billion square feet of office space, worth around $1.7 trillion or 29 percent of the total.</t>
  </si>
  <si>
    <t>Other commercial real estate categories are much smaller. These include some non-profits, such as hospitals and schools. Vacant land is commercial real estate if it will be leased, not sold. </t>
  </si>
  <si>
    <t>2. Hotels include motels, luxury resorts, and business hotels. This category does not include homes that rent out rooms through Airbnb. There are roughly 4.4 million hotel rooms worth $1.92 trillion.</t>
  </si>
  <si>
    <t>4. Apartment buildings are commercial real estate. Companies own them only to turn a profit. That's why homes rented by their owners are residential, not commercial. Some reports include apartment building data in statistics for residential real estate instead of commercial real estate. There are around 33 million square feet of apartment rental space, worth about $1.44 trillion.</t>
  </si>
  <si>
    <t>5. Industrial property is used to manufacture, distribute, or warehouse a product. It's not always considered commercial, especially in land use plans and in zoning. There are 13 billion square feet of industrial property worth around $240 billion.</t>
  </si>
  <si>
    <t>There are roughly 4 billion square feet of office space, worth around $1.7 trillion or 29 percent of the total</t>
  </si>
  <si>
    <t>Cost/sq-ft</t>
  </si>
  <si>
    <t>UV Space</t>
  </si>
  <si>
    <t>Commercial Office Space</t>
  </si>
  <si>
    <t>Industrial property</t>
  </si>
  <si>
    <t>Manufacture, distribute, warehouse</t>
  </si>
  <si>
    <t>Manhattan skyscrapers to lawyer's office</t>
  </si>
  <si>
    <t>Public and private, see school tab</t>
  </si>
  <si>
    <t>US UV Infrastructure Cost Estimate</t>
  </si>
  <si>
    <t>Indoor &amp; strip malls, big box retailers, grocery stores, restaurants, shopping center space</t>
  </si>
  <si>
    <t>Note: Cost per sq-ft derived from using one fixture in a 900 sq-ft school classroom</t>
  </si>
  <si>
    <t>Vendor product list</t>
  </si>
  <si>
    <t>https://www.ushio.com</t>
  </si>
  <si>
    <t>https://healthelighting.com</t>
  </si>
  <si>
    <t>American Air and Water</t>
  </si>
  <si>
    <t>EvergreenUV / Lumalier</t>
  </si>
  <si>
    <t>Atlantic Ultraviolet Corporation</t>
  </si>
  <si>
    <t>Lightbest Co, LTD</t>
  </si>
  <si>
    <t>American Ultraviolet</t>
  </si>
  <si>
    <t>https://www.americanultraviolet.com</t>
  </si>
  <si>
    <t>Larson Electronics</t>
  </si>
  <si>
    <t>USIO</t>
  </si>
  <si>
    <t>Heathe</t>
  </si>
  <si>
    <t>Coospider</t>
  </si>
  <si>
    <t>https://coospider.com</t>
  </si>
  <si>
    <t>ProLampSales</t>
  </si>
  <si>
    <t>https://www.prolampsales.com/collections/g13-base-uvc-bulbs</t>
  </si>
  <si>
    <t>https://www.prolampsales.com/collections/uvc-indirect-upper-air-sanitizers</t>
  </si>
  <si>
    <t>Phillips</t>
  </si>
  <si>
    <t>https://www.lighting.philips.com/main/products/uv-disinfection</t>
  </si>
  <si>
    <t>UV Solutions Buyers Guide</t>
  </si>
  <si>
    <t>https://uvsolutionsmag.com/buyersguide/services/MAIN_COVID19</t>
  </si>
  <si>
    <t>UV-C</t>
  </si>
  <si>
    <t>FAR UV-222</t>
  </si>
  <si>
    <t>Nova Electronics</t>
  </si>
  <si>
    <t>https://www.consumerlab.com/answers/heat-to-kill-coronavirus/heat-coronavirus/</t>
  </si>
  <si>
    <t>Temp F</t>
  </si>
  <si>
    <t>https://pubmed.ncbi.nlm.nih.gov/14631830/</t>
  </si>
  <si>
    <t>https://www.thelancet.com/journals/lanmic/article/PIIS2666-5247(20)30003-3/fulltext</t>
  </si>
  <si>
    <t>https://onlinelibrary.wiley.com/doi/10.1002/rmv.2115</t>
  </si>
  <si>
    <r>
      <t>Temperature (</t>
    </r>
    <r>
      <rPr>
        <b/>
        <vertAlign val="superscript"/>
        <sz val="11"/>
        <color theme="1"/>
        <rFont val="Calibri"/>
        <family val="2"/>
        <scheme val="minor"/>
      </rPr>
      <t>°</t>
    </r>
    <r>
      <rPr>
        <b/>
        <sz val="11"/>
        <color theme="1"/>
        <rFont val="Calibri"/>
        <family val="2"/>
        <scheme val="minor"/>
      </rPr>
      <t xml:space="preserve">C, </t>
    </r>
    <r>
      <rPr>
        <b/>
        <vertAlign val="superscript"/>
        <sz val="11"/>
        <color theme="1"/>
        <rFont val="Calibri"/>
        <family val="2"/>
        <scheme val="minor"/>
      </rPr>
      <t>°</t>
    </r>
    <r>
      <rPr>
        <b/>
        <sz val="11"/>
        <color theme="1"/>
        <rFont val="Calibri"/>
        <family val="2"/>
        <scheme val="minor"/>
      </rPr>
      <t>F)</t>
    </r>
  </si>
  <si>
    <t>Duration (minutes)</t>
  </si>
  <si>
    <t>Log reduction</t>
  </si>
  <si>
    <t>56, 133</t>
  </si>
  <si>
    <t>SARS‐CoV (Urbani strain)</t>
  </si>
  <si>
    <t>65, 149</t>
  </si>
  <si>
    <t>75, 167</t>
  </si>
  <si>
    <t>55, 131</t>
  </si>
  <si>
    <t>Gastroenteritis coronavirus</t>
  </si>
  <si>
    <t>Canine coronavirus</t>
  </si>
  <si>
    <t>&gt;5</t>
  </si>
  <si>
    <t>SARS CoV, FFM1 no protein</t>
  </si>
  <si>
    <t>50, 122</t>
  </si>
  <si>
    <t>SARS, CoV, FFM1 With 20% protein</t>
  </si>
  <si>
    <t>60, 140</t>
  </si>
  <si>
    <t>SARS CoV (Hanoi strain)</t>
  </si>
  <si>
    <t>&gt;6.4</t>
  </si>
  <si>
    <t>2–5</t>
  </si>
  <si>
    <t>SARS CoV (FFM1 strain)</t>
  </si>
  <si>
    <t>&gt;4.3</t>
  </si>
  <si>
    <t>SARS CoV (Urbani strain)</t>
  </si>
  <si>
    <t>&gt;4</t>
  </si>
  <si>
    <t>log 5-7</t>
  </si>
  <si>
    <t>log 5-7 is recommended reduction</t>
  </si>
  <si>
    <t>Time min</t>
  </si>
  <si>
    <t>Weekly Cases</t>
  </si>
  <si>
    <t>Normalized weekly cases</t>
  </si>
  <si>
    <t>The lower death rate trend shows that the number of infections is increasing significantly</t>
  </si>
  <si>
    <t>Death rate adjusted to look back to previous month infections</t>
  </si>
  <si>
    <t>in 1918 Schools opened windows closed for the winter !!!</t>
  </si>
  <si>
    <t>In 2020 there are modern forced air heating systems</t>
  </si>
  <si>
    <t>In 1918 Schools opened windows closed for the winter !!!</t>
  </si>
  <si>
    <t>In 2020 many schools closed but mass travel during thankgiving holiday</t>
  </si>
  <si>
    <t>US Holiday Travel Impact</t>
  </si>
  <si>
    <t>Travelers</t>
  </si>
  <si>
    <t>R Travel</t>
  </si>
  <si>
    <t>Infections</t>
  </si>
  <si>
    <t>Deaths
@ 3%</t>
  </si>
  <si>
    <t>% Infected Pop</t>
  </si>
  <si>
    <t>https://www.citizen-times.com/story/news/2020/12/18/christmas-travel-down-but-not-out-over-covid-19-concerns/3938666001/</t>
  </si>
  <si>
    <t>https://www.cnn.com/travel/article/thanksgiving-travel-volume-2020-pandemic/index.html</t>
  </si>
  <si>
    <t xml:space="preserve">That means more than 9.4 million people have been screened in the Thanksgiving travel window, which began on the Friday before the holiday. </t>
  </si>
  <si>
    <t>Meanwhile, 2.9 million travelers are still expected to book flights, a drop of almost 60%.</t>
  </si>
  <si>
    <t>Events</t>
  </si>
  <si>
    <t>Ref</t>
  </si>
  <si>
    <t>Newly
Infected
Pop</t>
  </si>
  <si>
    <t>Thankgiving
2020</t>
  </si>
  <si>
    <t>Chritmas 
2020</t>
  </si>
  <si>
    <t>After air travel broke a pandemic record on Wednesday, the TSA says it screened 846,520 people at airports nationwide on Thursday.
The Christmas Eve figure does not signal the end of the holiday travel rush, but rather a lull before people who left town for the Friday holiday begin coming home. TSA numbers show that in the last week, 7,189,521 people were screened at TSA checkpoints.</t>
  </si>
  <si>
    <t>https://www.cnn.com/2020/12/25/business/tsa-air-travel/index.html</t>
  </si>
  <si>
    <t>https://www.thedenverchannel.com/news/national/coronavirus/tsa-screens-record-high-number-of-travelers-ahead-of-christmas-holiday</t>
  </si>
  <si>
    <t>October 18: 1,031,505
November 20: 1,019,836
November 25: 1,070,967
November 29: 1,176,091
December 18: 1,066,747
December 19: 1,073,563
December 20: 1,064,619
December 23: 1,191,123</t>
  </si>
  <si>
    <t>https://www.nationalgeographic.com/science/2020/01/how-coronavirus-spreads-on-a-plane/</t>
  </si>
  <si>
    <t>The World Health Organization defines contact with an infected person as being seated within two rows of one another.</t>
  </si>
  <si>
    <t>R0</t>
  </si>
  <si>
    <t>https://wwwnc.cdc.gov/eid/article/26/11/20-3299_article</t>
  </si>
  <si>
    <t>https://www.ecdc.europa.eu/en/all-topics-ztravellers-health/infectious-diseases-aircraft</t>
  </si>
  <si>
    <t>flight attendant</t>
  </si>
  <si>
    <t>count</t>
  </si>
  <si>
    <t>The World Health Organization defines contact with an infected person as being seated within two rows of one another.
But people don’t just sit during flights, particularly ones lasting longer than a few hours. They visit the bathroom, stretch their legs, and grab items from the overhead bins. In fact, during the 2003 coronavirus outbreak of the severe acute respiratory syndrome (SARS), a passenger aboard a flight from Hong Kong to Beijing infected people well outside the WHO’s two-row boundary. The New England Journal of Medicine noted that the WHO criteria “would have missed 45 percent of the patients with SARS.”</t>
  </si>
  <si>
    <t>https://www.nejm.org/doi/full/10.1056/nejmoa031349</t>
  </si>
  <si>
    <t>According to the WHO</t>
  </si>
  <si>
    <t>Movement past the I passenger probably will not result in infection because of air exchange rate and short time passing I passenger</t>
  </si>
  <si>
    <t>Massive movement</t>
  </si>
  <si>
    <t>This matches: https://www.nejm.org/doi/full/10.1056/nejmoa031349</t>
  </si>
  <si>
    <t>https://www.pnas.org/content/pnas/115/14/3623.full.pdf</t>
  </si>
  <si>
    <t>WR PI</t>
  </si>
  <si>
    <t>Probability of being infected</t>
  </si>
  <si>
    <t>Probability of being in contact</t>
  </si>
  <si>
    <t>R0a</t>
  </si>
  <si>
    <t>https://www.nejm.org/doi/pdf/10.1056/NEJMoa031349</t>
  </si>
  <si>
    <t>Transmission of the Severe Acute Respiratory Syndrome on Aircraft</t>
  </si>
  <si>
    <t>S</t>
  </si>
  <si>
    <t>S - Probable SARS Case</t>
  </si>
  <si>
    <t>e - Empty Seat</t>
  </si>
  <si>
    <t>ni - No Illness Person Not Interviewed</t>
  </si>
  <si>
    <t>ni</t>
  </si>
  <si>
    <t>pi - No Illness Person Interviewed</t>
  </si>
  <si>
    <t>pi</t>
  </si>
  <si>
    <t>c - Crew</t>
  </si>
  <si>
    <t>Sc - Sick Crew</t>
  </si>
  <si>
    <t>c</t>
  </si>
  <si>
    <t>Sc</t>
  </si>
  <si>
    <t>IP - Infected</t>
  </si>
  <si>
    <t>IP</t>
  </si>
  <si>
    <t xml:space="preserve">Two flight attendants and two Chinese officials also reportedly had illness that met the WHO criteria for a probable case of SARS. </t>
  </si>
  <si>
    <t xml:space="preserve">The flight attendants are shown here as members of the crew. </t>
  </si>
  <si>
    <t>The seat locations of the two Chinese officials are unknown, and they are not included in the diagram.</t>
  </si>
  <si>
    <t>CI - Chinese officials unknown seats</t>
  </si>
  <si>
    <t>CI</t>
  </si>
  <si>
    <t>Transmission of SARS-CoV-2 During Long Flight</t>
  </si>
  <si>
    <t>London, UK, to Hanoi, Vietnam, on March 2, 2020</t>
  </si>
  <si>
    <t>https://wwwnc.cdc.gov/eid/article/26/11/20-3299_article, https://wwwnc.cdc.gov/eid/article/26/11/pdfs/20-3299.pdf</t>
  </si>
  <si>
    <t>Transmission of SARS-CoV 2 During Long-Haul Flight</t>
  </si>
  <si>
    <t>Boeing 737-300 Aircraft on Flight 2 from Hong Kong to Beijing on March 15, 2003</t>
  </si>
  <si>
    <t>Total New COVID-19 Cases = R0</t>
  </si>
  <si>
    <t>Total New SARS Cases = R0</t>
  </si>
  <si>
    <t>December 28, 20202 World Meters</t>
  </si>
  <si>
    <t>New Cases</t>
  </si>
  <si>
    <t>New Deaths</t>
  </si>
  <si>
    <t>Total Recovered</t>
  </si>
  <si>
    <t>Active Cases</t>
  </si>
  <si>
    <t>Serious, Critical</t>
  </si>
  <si>
    <t>Total Tests</t>
  </si>
  <si>
    <t>Tests/1M pop</t>
  </si>
  <si>
    <t>Y</t>
  </si>
  <si>
    <t>O</t>
  </si>
  <si>
    <t>R</t>
  </si>
  <si>
    <t>SORT</t>
  </si>
  <si>
    <t>Tot Test
per Pop</t>
  </si>
  <si>
    <t xml:space="preserve">Deaths / 1M pop
</t>
  </si>
  <si>
    <t>Tot
 Cases / 1M pop</t>
  </si>
  <si>
    <t>Total 
Deaths</t>
  </si>
  <si>
    <t>Vaccine Distribution</t>
  </si>
  <si>
    <t>More Than 2.1 Million People in the U.S. Have Gotten a Covid-19 Vaccine
By The New York TimesUpdated Dec. 28, 2020</t>
  </si>
  <si>
    <t>https://www.nytimes.com/interactive/2020/us/covid-19-vaccine-doses.html</t>
  </si>
  <si>
    <t>Daily Rate</t>
  </si>
  <si>
    <t>What states are reporting about vaccine doses</t>
  </si>
  <si>
    <t>Doses received and shots given are from a survey of health departments from Dec. 16 to 23. Some jurisdictions have not yet reported these figures or have reported partial figures.</t>
  </si>
  <si>
    <t>Doses allocated</t>
  </si>
  <si>
    <t>Doses confirmed received</t>
  </si>
  <si>
    <t>Shots given</t>
  </si>
  <si>
    <t xml:space="preserve">Texas </t>
  </si>
  <si>
    <t xml:space="preserve">Florida </t>
  </si>
  <si>
    <t xml:space="preserve">New York </t>
  </si>
  <si>
    <t xml:space="preserve">Federal agencies </t>
  </si>
  <si>
    <t xml:space="preserve">Department of Veterans Affairs </t>
  </si>
  <si>
    <t>—</t>
  </si>
  <si>
    <t xml:space="preserve">Indian Health Service </t>
  </si>
  <si>
    <t xml:space="preserve">Other agencies </t>
  </si>
  <si>
    <t xml:space="preserve">Pennsylvania </t>
  </si>
  <si>
    <t xml:space="preserve">Illinois </t>
  </si>
  <si>
    <t xml:space="preserve">Ohio </t>
  </si>
  <si>
    <t xml:space="preserve">North Carolina </t>
  </si>
  <si>
    <t xml:space="preserve">Georgia </t>
  </si>
  <si>
    <t xml:space="preserve">Michigan </t>
  </si>
  <si>
    <t xml:space="preserve">New Jersey </t>
  </si>
  <si>
    <t xml:space="preserve">Virginia </t>
  </si>
  <si>
    <t xml:space="preserve">Washington </t>
  </si>
  <si>
    <t xml:space="preserve">Massachusetts </t>
  </si>
  <si>
    <t xml:space="preserve">Arizona </t>
  </si>
  <si>
    <t xml:space="preserve">Tennessee </t>
  </si>
  <si>
    <t xml:space="preserve">Indiana </t>
  </si>
  <si>
    <t xml:space="preserve">Missouri </t>
  </si>
  <si>
    <t xml:space="preserve">Maryland </t>
  </si>
  <si>
    <t xml:space="preserve">Wisconsin </t>
  </si>
  <si>
    <t xml:space="preserve">Colorado </t>
  </si>
  <si>
    <t xml:space="preserve">Minnesota </t>
  </si>
  <si>
    <t xml:space="preserve">South Carolina </t>
  </si>
  <si>
    <t xml:space="preserve">Alabama </t>
  </si>
  <si>
    <t xml:space="preserve">Louisiana </t>
  </si>
  <si>
    <t xml:space="preserve">Kentucky </t>
  </si>
  <si>
    <t xml:space="preserve">Oregon </t>
  </si>
  <si>
    <t xml:space="preserve">Oklahoma </t>
  </si>
  <si>
    <t xml:space="preserve">Connecticut </t>
  </si>
  <si>
    <t xml:space="preserve">Puerto Rico </t>
  </si>
  <si>
    <t xml:space="preserve">Iowa </t>
  </si>
  <si>
    <t xml:space="preserve">Arkansas </t>
  </si>
  <si>
    <t xml:space="preserve">Mississippi </t>
  </si>
  <si>
    <t xml:space="preserve">Nevada </t>
  </si>
  <si>
    <t xml:space="preserve">Kansas </t>
  </si>
  <si>
    <t xml:space="preserve">Utah </t>
  </si>
  <si>
    <t xml:space="preserve">New Mexico </t>
  </si>
  <si>
    <t xml:space="preserve">West Virginia </t>
  </si>
  <si>
    <t xml:space="preserve">Nebraska </t>
  </si>
  <si>
    <t xml:space="preserve">Idaho </t>
  </si>
  <si>
    <t xml:space="preserve">Hawaii </t>
  </si>
  <si>
    <t xml:space="preserve">Maine </t>
  </si>
  <si>
    <t xml:space="preserve">New Hampshire </t>
  </si>
  <si>
    <t xml:space="preserve">Alaska </t>
  </si>
  <si>
    <t xml:space="preserve">Rhode Island </t>
  </si>
  <si>
    <t xml:space="preserve">Montana </t>
  </si>
  <si>
    <t xml:space="preserve">Delaware </t>
  </si>
  <si>
    <t xml:space="preserve">South Dakota </t>
  </si>
  <si>
    <t xml:space="preserve">North Dakota </t>
  </si>
  <si>
    <t xml:space="preserve">Washington, D.C. </t>
  </si>
  <si>
    <t xml:space="preserve">Vermont </t>
  </si>
  <si>
    <t xml:space="preserve">Wyoming </t>
  </si>
  <si>
    <t xml:space="preserve">Guam </t>
  </si>
  <si>
    <t xml:space="preserve">Northern Mariana Islands </t>
  </si>
  <si>
    <t xml:space="preserve">American Samoa </t>
  </si>
  <si>
    <t xml:space="preserve">U.S. Virgin Islands </t>
  </si>
  <si>
    <t>Sources: U.S. Department of Health and Human Services (Pfizer and Moderna doses allocated); state surveys and announcements (doses confirmed received and shots given) | Note: Geographically isolated areas such as Alaska, American Samoa, Guam and the Northern Mariana Islands can place orders for multiple weeks at once.</t>
  </si>
  <si>
    <t>Years</t>
  </si>
  <si>
    <t>To be vaccinated</t>
  </si>
  <si>
    <t>Person Hours</t>
  </si>
  <si>
    <t># of persons to complete in 1 year</t>
  </si>
  <si>
    <t># of persons to complete in 6 months</t>
  </si>
  <si>
    <t>Daily rate to complete in 1 year</t>
  </si>
  <si>
    <t>Daily rate to complete in 6 months</t>
  </si>
  <si>
    <t>Vaccinated</t>
  </si>
  <si>
    <t>Person Years @ 2,000 hrs / yr</t>
  </si>
  <si>
    <t>Days to reach 300 M</t>
  </si>
  <si>
    <t>Last observation date</t>
  </si>
  <si>
    <t>Vaccines</t>
  </si>
  <si>
    <t>Government of Argentina</t>
  </si>
  <si>
    <t>Sputnik V</t>
  </si>
  <si>
    <t>Federal Ministry for Social Affairs and Health</t>
  </si>
  <si>
    <t>Pfizer/BioNTech</t>
  </si>
  <si>
    <t>Ministry of Health</t>
  </si>
  <si>
    <t>Sinopharm</t>
  </si>
  <si>
    <t>COVID-19 Canada Open Data Working Group</t>
  </si>
  <si>
    <t>Department of Statistics and Health Information</t>
  </si>
  <si>
    <t>National Health Commission</t>
  </si>
  <si>
    <t>CNBG, Sinovac</t>
  </si>
  <si>
    <t>Government of Costa Rica</t>
  </si>
  <si>
    <t>Statens Serum Institut</t>
  </si>
  <si>
    <t>England</t>
  </si>
  <si>
    <t>Government of the United Kingdom</t>
  </si>
  <si>
    <t>National Health Board</t>
  </si>
  <si>
    <t>Department of Health and Welfare</t>
  </si>
  <si>
    <t>Robert Koch Institut</t>
  </si>
  <si>
    <t>Government of Hungary</t>
  </si>
  <si>
    <t>Directorate of Health</t>
  </si>
  <si>
    <t>Health Service Executive</t>
  </si>
  <si>
    <t>Government of Israel</t>
  </si>
  <si>
    <t>Commissioner for the COVID-19 emergency</t>
  </si>
  <si>
    <t>Government of Luxembourg</t>
  </si>
  <si>
    <t>Secretary of Health</t>
  </si>
  <si>
    <t>Northern Ireland</t>
  </si>
  <si>
    <t>National Health Service</t>
  </si>
  <si>
    <t>Government of Romania</t>
  </si>
  <si>
    <t>Government of Russia</t>
  </si>
  <si>
    <t>Scotland</t>
  </si>
  <si>
    <t>United Kingdom</t>
  </si>
  <si>
    <t>United States</t>
  </si>
  <si>
    <t>Centers for Disease Control and Prevention</t>
  </si>
  <si>
    <t>Moderna, Pfizer/BioNTech</t>
  </si>
  <si>
    <t>Wales</t>
  </si>
  <si>
    <t>vaccination starts https://www.washingtonpost.com/nation/2020/12/14/first-covid-vaccines-new-york/</t>
  </si>
  <si>
    <t>https://ourworldindata.org/covid-vaccinations</t>
  </si>
  <si>
    <t>Minutes to Vaccinate Wait for side effects</t>
  </si>
  <si>
    <t>Cumulative COVID-19 vaccinations per 100 people</t>
  </si>
  <si>
    <t>Tradeoff Criteria</t>
  </si>
  <si>
    <t>Ability to stop Pandemic</t>
  </si>
  <si>
    <t>Arch A</t>
  </si>
  <si>
    <t>Arch B</t>
  </si>
  <si>
    <t>1- worst,</t>
  </si>
  <si>
    <t>5 - best</t>
  </si>
  <si>
    <t>Rating</t>
  </si>
  <si>
    <t>Shutdown Costs ($ billions)</t>
  </si>
  <si>
    <t>Future Potential Shutdown Costs  ($ billions)</t>
  </si>
  <si>
    <t>It will take 6 months for an updated vaccine, this is similar to the CARES act level of costs</t>
  </si>
  <si>
    <r>
      <t xml:space="preserve">sq-ft </t>
    </r>
    <r>
      <rPr>
        <sz val="11"/>
        <color theme="1"/>
        <rFont val="Calibri"/>
        <family val="2"/>
        <scheme val="minor"/>
      </rPr>
      <t>[1]</t>
    </r>
  </si>
  <si>
    <t xml:space="preserve">Cost/sq-ft </t>
  </si>
  <si>
    <t>Public and private</t>
  </si>
  <si>
    <t>MOE (Rating / Total Costs)</t>
  </si>
  <si>
    <t>MOE Normalized Result</t>
  </si>
  <si>
    <t>Arch C</t>
  </si>
  <si>
    <t>Lives Lost</t>
  </si>
  <si>
    <t>cost /life ($ millions)</t>
  </si>
  <si>
    <t xml:space="preserve"> cost ($ millions)</t>
  </si>
  <si>
    <t>Billions</t>
  </si>
  <si>
    <t>Trillions</t>
  </si>
  <si>
    <t>Arch C is as shown times better than Arch A</t>
  </si>
  <si>
    <t>HVAC Upgrades</t>
  </si>
  <si>
    <t>Arch C failed</t>
  </si>
  <si>
    <t>Lives Lost Costs ($ billions)</t>
  </si>
  <si>
    <t>Infrastructure Costs ($ billions)</t>
  </si>
  <si>
    <t>Total Costs   ($ billions)</t>
  </si>
  <si>
    <t>Sensitivity analysis shows that the 5 rating for Arch C is irrelevant</t>
  </si>
  <si>
    <t>$7 million per life</t>
  </si>
  <si>
    <t>Vaccine for Arch B, UV + HVAC upgrades for Arch C</t>
  </si>
  <si>
    <t>Ability to prevent future epidemic</t>
  </si>
  <si>
    <t>May</t>
  </si>
  <si>
    <t>CFM</t>
  </si>
  <si>
    <t>Industry standard Philly Classroom</t>
  </si>
  <si>
    <t>students</t>
  </si>
  <si>
    <t>vaccinated</t>
  </si>
  <si>
    <t>remaining</t>
  </si>
  <si>
    <t>lives saved</t>
  </si>
  <si>
    <t>herd level pop</t>
  </si>
  <si>
    <t>rate</t>
  </si>
  <si>
    <t>lives lost</t>
  </si>
  <si>
    <t>Vaccinations impact remaining years</t>
  </si>
  <si>
    <t>Lives Saved</t>
  </si>
  <si>
    <t>Chronic Health Loss Prevented</t>
  </si>
  <si>
    <t>Chronic Health Loss %</t>
  </si>
  <si>
    <t>no data</t>
  </si>
  <si>
    <t>Flu season date</t>
  </si>
  <si>
    <t>2018-2019</t>
  </si>
  <si>
    <t>2017-2018</t>
  </si>
  <si>
    <t>2015-2016</t>
  </si>
  <si>
    <t>2014-2015</t>
  </si>
  <si>
    <t>2013-2014</t>
  </si>
  <si>
    <t>estimated workers sickened</t>
  </si>
  <si>
    <t>average hourly wage</t>
  </si>
  <si>
    <t>average wages lost 4 days</t>
  </si>
  <si>
    <t>Estimated Productivity Loss (billion)</t>
  </si>
  <si>
    <t>2019-2020</t>
  </si>
  <si>
    <t>2012-2013</t>
  </si>
  <si>
    <t>2011-2012</t>
  </si>
  <si>
    <t>2010-2011</t>
  </si>
  <si>
    <t>Symptomatic Illnesses</t>
  </si>
  <si>
    <t>[12]</t>
  </si>
  <si>
    <t>Medical Visits</t>
  </si>
  <si>
    <t>Hospitalizations</t>
  </si>
  <si>
    <t>Loss of Life</t>
  </si>
  <si>
    <t>employment-population ratio</t>
  </si>
  <si>
    <t>$17,300 male $14,900 female 2015-216 season. [13] Used $17,000 for all years.</t>
  </si>
  <si>
    <t>Total Seasonal Flu Costs</t>
  </si>
  <si>
    <t>60.60% for 2018-2019 [11]</t>
  </si>
  <si>
    <t>nv</t>
  </si>
  <si>
    <t>Hospitalization Costs (billion)</t>
  </si>
  <si>
    <t>2013-2019 [11] &amp; related</t>
  </si>
  <si>
    <t>2010-2020  total costs</t>
  </si>
  <si>
    <t>Infrastructure Costs UV + HVAC (billion)</t>
  </si>
  <si>
    <t>return to life analysis (part 1)</t>
  </si>
  <si>
    <t>10 years expected life of infrastructure</t>
  </si>
  <si>
    <t>Based on schools analysis</t>
  </si>
  <si>
    <t>From schools analysis, worst case</t>
  </si>
  <si>
    <t>Cost Benefit Analysis Costs A</t>
  </si>
  <si>
    <t>Cost Benefit Analysis Costs B</t>
  </si>
  <si>
    <t>minus commercial office space + 50% retail to capture problem areas</t>
  </si>
  <si>
    <t>minus commercial office space + 50% retail + 50% industrial to capture problem areas</t>
  </si>
  <si>
    <t>chance of infection</t>
  </si>
  <si>
    <t>chance of death</t>
  </si>
  <si>
    <t>Deaths / Illness</t>
  </si>
  <si>
    <t>Deaths / Medical Visits</t>
  </si>
  <si>
    <t>Deaths / Hospitalizations</t>
  </si>
  <si>
    <t>Deaths / Workers</t>
  </si>
  <si>
    <t>COVID 3/20-4/21</t>
  </si>
  <si>
    <t>30 day lag for COVID</t>
  </si>
  <si>
    <t>Heart attack</t>
  </si>
  <si>
    <t>Death Rank</t>
  </si>
  <si>
    <t>1 in 4</t>
  </si>
  <si>
    <t>Avg Flu</t>
  </si>
  <si>
    <t>Currently hospitalized/Now hospitalized</t>
  </si>
  <si>
    <t>Currently in ICU/Now in ICU</t>
  </si>
  <si>
    <t>Currently on ventilator/Now on ventilator</t>
  </si>
  <si>
    <t>Source: https://covidtracking.com/data/national/hospitalization</t>
  </si>
  <si>
    <t>Cancer</t>
  </si>
  <si>
    <t>Heart disease</t>
  </si>
  <si>
    <t>Accidents (unintentional injuries)</t>
  </si>
  <si>
    <t>Chronic lower respiratory diseases</t>
  </si>
  <si>
    <t>Stroke (cerebrovascular diseases)</t>
  </si>
  <si>
    <t>Alzheimer’s disease</t>
  </si>
  <si>
    <t>Diabetes</t>
  </si>
  <si>
    <t>Nephritis, nephrotic syndrome, and nephrosis</t>
  </si>
  <si>
    <t>Influenza and pneumonia</t>
  </si>
  <si>
    <t>Intentional self-harm (suicide)</t>
  </si>
  <si>
    <t>ICU</t>
  </si>
  <si>
    <t>On Ventilator</t>
  </si>
  <si>
    <t>Correctional Institution Administration</t>
  </si>
  <si>
    <t>Correctional Officer</t>
  </si>
  <si>
    <t>Bond Sales Promotion</t>
  </si>
  <si>
    <t>Explosives Safety Series</t>
  </si>
  <si>
    <t>Safety and Occupational Health Management</t>
  </si>
  <si>
    <t>Safety Technician</t>
  </si>
  <si>
    <t>Community Planning</t>
  </si>
  <si>
    <t>Community Planning Technician</t>
  </si>
  <si>
    <t>Outdoor Recreation Planning</t>
  </si>
  <si>
    <t>Park Ranger</t>
  </si>
  <si>
    <t>Environmental Protection Specialist</t>
  </si>
  <si>
    <t>Environmental Protection Assistant</t>
  </si>
  <si>
    <t>Sports Specialist</t>
  </si>
  <si>
    <t>Funeral Directing</t>
  </si>
  <si>
    <t>Chaplain</t>
  </si>
  <si>
    <t>Clothing Design</t>
  </si>
  <si>
    <t>Fingerprint Identification</t>
  </si>
  <si>
    <t>Security Administration</t>
  </si>
  <si>
    <t>Fire Protection And Prevention</t>
  </si>
  <si>
    <t>United States Marshal</t>
  </si>
  <si>
    <t>Police</t>
  </si>
  <si>
    <t>Nuclear Materials Courier</t>
  </si>
  <si>
    <t>Security Guard</t>
  </si>
  <si>
    <t>Security Clerical And Assistance</t>
  </si>
  <si>
    <t>Guide</t>
  </si>
  <si>
    <t>Foreign Law Specialist</t>
  </si>
  <si>
    <t>General Student Trainee</t>
  </si>
  <si>
    <t>Social Science</t>
  </si>
  <si>
    <t>Social Science Aid And Technician</t>
  </si>
  <si>
    <t>Social Insurance Administration</t>
  </si>
  <si>
    <t>Unemployment Insurance</t>
  </si>
  <si>
    <t>Health Insurance Administration</t>
  </si>
  <si>
    <t>Economist</t>
  </si>
  <si>
    <t>Economics Assistant</t>
  </si>
  <si>
    <t>Foreign Affairs</t>
  </si>
  <si>
    <t>International Relations</t>
  </si>
  <si>
    <t>Intelligence</t>
  </si>
  <si>
    <t>Intelligence Aid And Clerk</t>
  </si>
  <si>
    <t>Foreign Agricultural Affairs</t>
  </si>
  <si>
    <t>International Cooperation</t>
  </si>
  <si>
    <t>Workforce Research And Analysis</t>
  </si>
  <si>
    <t>Workforce Development</t>
  </si>
  <si>
    <t>Geography</t>
  </si>
  <si>
    <t>Civil Rights Analysis</t>
  </si>
  <si>
    <t>History</t>
  </si>
  <si>
    <t>Psychology</t>
  </si>
  <si>
    <t>Psychology Aid And Technician</t>
  </si>
  <si>
    <t>Sociology</t>
  </si>
  <si>
    <t>Social Work</t>
  </si>
  <si>
    <t>Social Services Aid And Assistant</t>
  </si>
  <si>
    <t>Social Services</t>
  </si>
  <si>
    <t>Recreation Specialist</t>
  </si>
  <si>
    <t>Recreation Aid And Assistant</t>
  </si>
  <si>
    <t>General Anthropology</t>
  </si>
  <si>
    <t>Archeology</t>
  </si>
  <si>
    <t>Social Science Student Trainee</t>
  </si>
  <si>
    <t>Human Resources Management</t>
  </si>
  <si>
    <t>Human Resources Assistance</t>
  </si>
  <si>
    <t>Mediation</t>
  </si>
  <si>
    <t>Apprenticeship And Training</t>
  </si>
  <si>
    <t>Labor-Management Relations Examining</t>
  </si>
  <si>
    <t>Equal Employment Opportunity</t>
  </si>
  <si>
    <t>Human Resources Management Student Trainee</t>
  </si>
  <si>
    <t>Miscellaneous Administration And Program</t>
  </si>
  <si>
    <t>Messenger</t>
  </si>
  <si>
    <t>Miscellaneous Clerk And Assistant</t>
  </si>
  <si>
    <t>Information Receptionist</t>
  </si>
  <si>
    <t>Mail And File</t>
  </si>
  <si>
    <t>Correspondence Clerk</t>
  </si>
  <si>
    <t>Work Unit Supervising</t>
  </si>
  <si>
    <t>Secretary</t>
  </si>
  <si>
    <t>Closed Microphone Reporter</t>
  </si>
  <si>
    <t>Clerk-Typist</t>
  </si>
  <si>
    <t>Office Automation Clerical And Assistance</t>
  </si>
  <si>
    <t>Computer Operation</t>
  </si>
  <si>
    <t>Computer Specialist FAA Only</t>
  </si>
  <si>
    <t>Computer Clerk And Assistant</t>
  </si>
  <si>
    <t>Program Management</t>
  </si>
  <si>
    <t>Administrative Officer</t>
  </si>
  <si>
    <t>Support Services Administration</t>
  </si>
  <si>
    <t>Management And Program Analysis</t>
  </si>
  <si>
    <t>Management And Program Clerical And Assistance</t>
  </si>
  <si>
    <t>Logistics Management</t>
  </si>
  <si>
    <t>GAO Analyst</t>
  </si>
  <si>
    <t>Equipment Operator</t>
  </si>
  <si>
    <t>Data Transcriber</t>
  </si>
  <si>
    <t>Coding</t>
  </si>
  <si>
    <t>Equal Opportunity Compliance</t>
  </si>
  <si>
    <t>Equal Opportunity Assistance</t>
  </si>
  <si>
    <t>Telephone Operating</t>
  </si>
  <si>
    <t>Telecommunications Processing</t>
  </si>
  <si>
    <t>Telecommunications</t>
  </si>
  <si>
    <t>General Telecommunications</t>
  </si>
  <si>
    <t>Communications Clerical</t>
  </si>
  <si>
    <t>Administration And Office Support Student Trainee</t>
  </si>
  <si>
    <t>General Natural Resources Management And Biological Sciences</t>
  </si>
  <si>
    <t>Microbiology</t>
  </si>
  <si>
    <t>Biological Science Technician</t>
  </si>
  <si>
    <t>Pharmacology</t>
  </si>
  <si>
    <t>Ecology</t>
  </si>
  <si>
    <t>Zoology</t>
  </si>
  <si>
    <t>Physiology</t>
  </si>
  <si>
    <t>Entomology</t>
  </si>
  <si>
    <t>Toxicology</t>
  </si>
  <si>
    <t>Plant Protection Technician</t>
  </si>
  <si>
    <t>Botany</t>
  </si>
  <si>
    <t>Plant Pathology</t>
  </si>
  <si>
    <t>Plant Physiology</t>
  </si>
  <si>
    <t>Horticulture</t>
  </si>
  <si>
    <t>Genetics</t>
  </si>
  <si>
    <t>Rangeland Management</t>
  </si>
  <si>
    <t>Range Technician</t>
  </si>
  <si>
    <t>Soil Conservation</t>
  </si>
  <si>
    <t>Soil Conservation Technician</t>
  </si>
  <si>
    <t>Irrigation System Operation</t>
  </si>
  <si>
    <t>Forestry</t>
  </si>
  <si>
    <t>Forestry Technician</t>
  </si>
  <si>
    <t>Soil Science</t>
  </si>
  <si>
    <t>Agronomy</t>
  </si>
  <si>
    <t>Fish And Wildlife Administration</t>
  </si>
  <si>
    <t>Fish Biology</t>
  </si>
  <si>
    <t>Wildlife Refuge Management</t>
  </si>
  <si>
    <t>Wildlife Biology</t>
  </si>
  <si>
    <t>Animal Science</t>
  </si>
  <si>
    <t>Biological Science Student Trainee</t>
  </si>
  <si>
    <t>Financial Administration And Program</t>
  </si>
  <si>
    <t>Financial Clerical And Assistance</t>
  </si>
  <si>
    <t>Financial Management</t>
  </si>
  <si>
    <t>Accounting</t>
  </si>
  <si>
    <t>Auditing</t>
  </si>
  <si>
    <t>Internal Revenue Agent</t>
  </si>
  <si>
    <t>Accounting Technician</t>
  </si>
  <si>
    <t>Tax Specialist</t>
  </si>
  <si>
    <t>Cash Processing</t>
  </si>
  <si>
    <t>Voucher Examining</t>
  </si>
  <si>
    <t>Civilian Pay</t>
  </si>
  <si>
    <t>Military Pay</t>
  </si>
  <si>
    <t>Budget Analysis</t>
  </si>
  <si>
    <t>Budget Clerical And Assistance</t>
  </si>
  <si>
    <t>Financial Institution Examining</t>
  </si>
  <si>
    <t>Credit Union Examiner</t>
  </si>
  <si>
    <t>Tax Examining</t>
  </si>
  <si>
    <t>Insurance Accounts</t>
  </si>
  <si>
    <t>Financial Management Student Trainee</t>
  </si>
  <si>
    <t>General Health Science</t>
  </si>
  <si>
    <t>Medical Officer</t>
  </si>
  <si>
    <t>Physician Assistant</t>
  </si>
  <si>
    <t>Nurse Anesthetist Title 38</t>
  </si>
  <si>
    <t>Nurse</t>
  </si>
  <si>
    <t>Practical Nurse</t>
  </si>
  <si>
    <t>Nursing Assistant</t>
  </si>
  <si>
    <t>Medical Supply Aide And Technician</t>
  </si>
  <si>
    <t>Autopsy Assistant</t>
  </si>
  <si>
    <t>Dietitian And Nutritionist</t>
  </si>
  <si>
    <t>Occupational Therapist</t>
  </si>
  <si>
    <t>Physical Therapist</t>
  </si>
  <si>
    <t>Kinesiotherapy</t>
  </si>
  <si>
    <t>Rehabilitation Therapy Assistant</t>
  </si>
  <si>
    <t>Manual Arts Therapist</t>
  </si>
  <si>
    <t>Recreation/Creative Arts Therapist</t>
  </si>
  <si>
    <t>Educational Therapist</t>
  </si>
  <si>
    <t>Health Aid And Technician</t>
  </si>
  <si>
    <t>Nuclear Medicine Technician</t>
  </si>
  <si>
    <t>Medical Technologist</t>
  </si>
  <si>
    <t>Medical Technician</t>
  </si>
  <si>
    <t>Pathology Technician</t>
  </si>
  <si>
    <t>Diagnostic Radiologic Technologist</t>
  </si>
  <si>
    <t>Therapeutic Radiologic Technologist</t>
  </si>
  <si>
    <t>Medical Instrument Technician</t>
  </si>
  <si>
    <t>Medical Technical Assistant</t>
  </si>
  <si>
    <t>Respiratory Therapist</t>
  </si>
  <si>
    <t>Pharmacist</t>
  </si>
  <si>
    <t>Pharmacy Technician</t>
  </si>
  <si>
    <t>Optometrist</t>
  </si>
  <si>
    <t>Speech Pathology And Audiology</t>
  </si>
  <si>
    <t>Orthotist And Prosthetist</t>
  </si>
  <si>
    <t>Podiatrist</t>
  </si>
  <si>
    <t>Medical Records Administration</t>
  </si>
  <si>
    <t>Health System Administration</t>
  </si>
  <si>
    <t>Health System Specialist</t>
  </si>
  <si>
    <t>Prosthetic Representative</t>
  </si>
  <si>
    <t>Hospital Housekeeping Management</t>
  </si>
  <si>
    <t>Medical Records Technician</t>
  </si>
  <si>
    <t>Medical Support Assistance</t>
  </si>
  <si>
    <t>Dental Officer</t>
  </si>
  <si>
    <t>Dental Assistant</t>
  </si>
  <si>
    <t>Dental Hygiene</t>
  </si>
  <si>
    <t>Dental Laboratory Aid And Technician</t>
  </si>
  <si>
    <t>Public Health Program Specialist</t>
  </si>
  <si>
    <t>Sanitarian</t>
  </si>
  <si>
    <t>Industrial Hygiene</t>
  </si>
  <si>
    <t>Consumer Safety</t>
  </si>
  <si>
    <t>Environmental Health Technician</t>
  </si>
  <si>
    <t>Medical And Health Student Trainee</t>
  </si>
  <si>
    <t>Veterinary Medical Science</t>
  </si>
  <si>
    <t>Animal Health Technician</t>
  </si>
  <si>
    <t>Veterinary Student Trainee</t>
  </si>
  <si>
    <t>General Engineering</t>
  </si>
  <si>
    <t>Engineering Technical</t>
  </si>
  <si>
    <t>Safety Engineering</t>
  </si>
  <si>
    <t>Fire Protection Engineering</t>
  </si>
  <si>
    <t>Materials Engineering</t>
  </si>
  <si>
    <t>Landscape Architecture</t>
  </si>
  <si>
    <t>Architecture</t>
  </si>
  <si>
    <t>Construction Control Technical</t>
  </si>
  <si>
    <t>Civil Engineering</t>
  </si>
  <si>
    <t>Survey Technical</t>
  </si>
  <si>
    <t>Environmental Engineering</t>
  </si>
  <si>
    <t>Construction Analyst</t>
  </si>
  <si>
    <t>Mechanical Engineering</t>
  </si>
  <si>
    <t>Nuclear Engineering</t>
  </si>
  <si>
    <t>Electrical Engineering</t>
  </si>
  <si>
    <t>Computer Engineering</t>
  </si>
  <si>
    <t>Electronics Engineering</t>
  </si>
  <si>
    <t>Electronics Technical</t>
  </si>
  <si>
    <t>BioEngineering and Biomedical Engineering</t>
  </si>
  <si>
    <t>Aerospace Engineering</t>
  </si>
  <si>
    <t>Naval Architecture</t>
  </si>
  <si>
    <t>Marine Survey Technical</t>
  </si>
  <si>
    <t>Mining Engineering</t>
  </si>
  <si>
    <t>Petroleum Engineering</t>
  </si>
  <si>
    <t>Agricultural Engineering</t>
  </si>
  <si>
    <t>Chemical Engineering</t>
  </si>
  <si>
    <t>Industrial Engineering Technical</t>
  </si>
  <si>
    <t>Industrial Engineering</t>
  </si>
  <si>
    <t>Engineering Trainee</t>
  </si>
  <si>
    <t>Engineering And Architecture Student Trainee</t>
  </si>
  <si>
    <t>General Legal And Kindred Administration</t>
  </si>
  <si>
    <t>Law Clerk</t>
  </si>
  <si>
    <t>Attorney</t>
  </si>
  <si>
    <t>Hearings And Appeals</t>
  </si>
  <si>
    <t>Administrative Law Judge</t>
  </si>
  <si>
    <t>Paralegal Specialist</t>
  </si>
  <si>
    <t>Employee Benefits Law</t>
  </si>
  <si>
    <t>Contact Representative</t>
  </si>
  <si>
    <t>Legal Instruments Examining</t>
  </si>
  <si>
    <t>Land Law Examining</t>
  </si>
  <si>
    <t>Passport And Visa Examining</t>
  </si>
  <si>
    <t>Legal Assistance</t>
  </si>
  <si>
    <t>Tax Law Specialist</t>
  </si>
  <si>
    <t>Worker's Compensation Claims Examining</t>
  </si>
  <si>
    <t>Railroad Retirement Claims Examining</t>
  </si>
  <si>
    <t>Veterans Claims Examining</t>
  </si>
  <si>
    <t>Claims Assistance And Examining</t>
  </si>
  <si>
    <t>Legal Occupations Student Trainee</t>
  </si>
  <si>
    <t>General Arts And Information</t>
  </si>
  <si>
    <t>Interior Design</t>
  </si>
  <si>
    <t>Exhibits Specialist</t>
  </si>
  <si>
    <t>Museum Curator</t>
  </si>
  <si>
    <t>Museum Specialist And Technician</t>
  </si>
  <si>
    <t>Illustrating</t>
  </si>
  <si>
    <t>Office Drafting</t>
  </si>
  <si>
    <t>Public Affairs</t>
  </si>
  <si>
    <t>Language Specialist</t>
  </si>
  <si>
    <t>Language Clerical</t>
  </si>
  <si>
    <t>Music Specialist</t>
  </si>
  <si>
    <t>Theater Specialist</t>
  </si>
  <si>
    <t>Art Specialist</t>
  </si>
  <si>
    <t>Photography</t>
  </si>
  <si>
    <t>Audiovisual Production</t>
  </si>
  <si>
    <t>Writing And Editing</t>
  </si>
  <si>
    <t>Technical Writing And Editing</t>
  </si>
  <si>
    <t>Visual Information</t>
  </si>
  <si>
    <t>Editorial Assistance</t>
  </si>
  <si>
    <t>Information And Arts Student Trainee</t>
  </si>
  <si>
    <t>General Business And Industry</t>
  </si>
  <si>
    <t>Contracting</t>
  </si>
  <si>
    <t>Industrial Property Management</t>
  </si>
  <si>
    <t>Property Disposal</t>
  </si>
  <si>
    <t>Purchasing</t>
  </si>
  <si>
    <t>Procurement Clerical And Technician</t>
  </si>
  <si>
    <t>Property Disposal Clerical And Technician</t>
  </si>
  <si>
    <t>Grants Management</t>
  </si>
  <si>
    <t>Public Utilities Specialist</t>
  </si>
  <si>
    <t>Trade Specialist</t>
  </si>
  <si>
    <t>Commissary Management</t>
  </si>
  <si>
    <t>Agricultural Program Specialist</t>
  </si>
  <si>
    <t>Agricultural Marketing</t>
  </si>
  <si>
    <t>Agricultural Market Reporting</t>
  </si>
  <si>
    <t>Industrial Specialist</t>
  </si>
  <si>
    <t>Production Control</t>
  </si>
  <si>
    <t>Financial Analysis</t>
  </si>
  <si>
    <t>Insurance Examining</t>
  </si>
  <si>
    <t>Loan Specialist</t>
  </si>
  <si>
    <t>Internal Revenue Officer</t>
  </si>
  <si>
    <t>Realty</t>
  </si>
  <si>
    <t>Appraising</t>
  </si>
  <si>
    <t>Housing Management</t>
  </si>
  <si>
    <t>Building Management</t>
  </si>
  <si>
    <t>Business And Industry Student Trainee</t>
  </si>
  <si>
    <t>Patent Technician</t>
  </si>
  <si>
    <t>Copyright</t>
  </si>
  <si>
    <t>Patent Administration</t>
  </si>
  <si>
    <t>Patent Adviser</t>
  </si>
  <si>
    <t>Patent Attorney</t>
  </si>
  <si>
    <t>Patent Classifying</t>
  </si>
  <si>
    <t>Patent Examining</t>
  </si>
  <si>
    <t>Design Patent Examining</t>
  </si>
  <si>
    <t>Copyright And Patent Student Trainee</t>
  </si>
  <si>
    <t>General Physical Science</t>
  </si>
  <si>
    <t>Health Physics</t>
  </si>
  <si>
    <t>Physics</t>
  </si>
  <si>
    <t>Physical Science Technician</t>
  </si>
  <si>
    <t>Geophysics</t>
  </si>
  <si>
    <t>Hydrology</t>
  </si>
  <si>
    <t>Hydrologic Technician</t>
  </si>
  <si>
    <t>Chemistry</t>
  </si>
  <si>
    <t>Metallurgy</t>
  </si>
  <si>
    <t>Astronomy And Space Science</t>
  </si>
  <si>
    <t>Meteorology</t>
  </si>
  <si>
    <t>Meteorological Technician</t>
  </si>
  <si>
    <t>Geology</t>
  </si>
  <si>
    <t>Oceanography</t>
  </si>
  <si>
    <t>Navigational Information</t>
  </si>
  <si>
    <t>Cartography</t>
  </si>
  <si>
    <t>Cartographic Technician</t>
  </si>
  <si>
    <t>Geodesy</t>
  </si>
  <si>
    <t>Land Surveying</t>
  </si>
  <si>
    <t>Geodetic Technician</t>
  </si>
  <si>
    <t>Forest Products Technology</t>
  </si>
  <si>
    <t>Food Technology</t>
  </si>
  <si>
    <t>Textile Technology</t>
  </si>
  <si>
    <t>Photographic Technology</t>
  </si>
  <si>
    <t>Document Analysis</t>
  </si>
  <si>
    <t>Physical Science Trainee</t>
  </si>
  <si>
    <t>Physical Science Student Trainee</t>
  </si>
  <si>
    <t>Librarian</t>
  </si>
  <si>
    <t>Library Technician</t>
  </si>
  <si>
    <t>Technical Information Services</t>
  </si>
  <si>
    <t>Archivist</t>
  </si>
  <si>
    <t>Archives Technician</t>
  </si>
  <si>
    <t>Library And Archives Student Trainee</t>
  </si>
  <si>
    <t>General Mathematics And Statistics</t>
  </si>
  <si>
    <t>Actuarial Science</t>
  </si>
  <si>
    <t>Operations Research</t>
  </si>
  <si>
    <t>Mathematics</t>
  </si>
  <si>
    <t>Mathematics Technician</t>
  </si>
  <si>
    <t>Mathematical Statistics</t>
  </si>
  <si>
    <t>Statistics</t>
  </si>
  <si>
    <t>Statistical Assistant</t>
  </si>
  <si>
    <t>Cryptanalysis</t>
  </si>
  <si>
    <t>Computer Science</t>
  </si>
  <si>
    <t>Mathematics Or Computer Science Trainee</t>
  </si>
  <si>
    <t>Mathematics And Statistics Student Trainee</t>
  </si>
  <si>
    <t>Equipment Facilities, And Services</t>
  </si>
  <si>
    <t>Equipment, Facilities, And Services Assistance</t>
  </si>
  <si>
    <t>Cemetery Administration Services</t>
  </si>
  <si>
    <t>Facility Operations Services</t>
  </si>
  <si>
    <t>Printing Services</t>
  </si>
  <si>
    <t>Laundry Operations Services</t>
  </si>
  <si>
    <t>Food Services</t>
  </si>
  <si>
    <t>Equipment Services</t>
  </si>
  <si>
    <t>Equipment And Facilities Management Student Trainee</t>
  </si>
  <si>
    <t>General Education And Training</t>
  </si>
  <si>
    <t>Education And Training Technician</t>
  </si>
  <si>
    <t>Education And Vocational Training</t>
  </si>
  <si>
    <t>Training Instruction</t>
  </si>
  <si>
    <t>Vocational Rehabilitation</t>
  </si>
  <si>
    <t>Education Program</t>
  </si>
  <si>
    <t>Public Health Educator</t>
  </si>
  <si>
    <t>Education Research</t>
  </si>
  <si>
    <t>Education Services</t>
  </si>
  <si>
    <t>Instructional Systems</t>
  </si>
  <si>
    <t>Education Student Trainee</t>
  </si>
  <si>
    <t>General Inspection, Investigation, Enforcement, And Compliance Series</t>
  </si>
  <si>
    <t>Compliance Inspection And Support</t>
  </si>
  <si>
    <t>Investigative Analysis</t>
  </si>
  <si>
    <t>General Investigation</t>
  </si>
  <si>
    <t>Criminal Investigation</t>
  </si>
  <si>
    <t>Air Safety Investigating</t>
  </si>
  <si>
    <t>Mine Safety And Health Inspection Series</t>
  </si>
  <si>
    <t>Aviation Safety</t>
  </si>
  <si>
    <t>Securities Compliance Examining</t>
  </si>
  <si>
    <t>Wage And Hour Investigation Series</t>
  </si>
  <si>
    <t>Agricultural Warehouse Inspection Series</t>
  </si>
  <si>
    <t>Equal Opportunity Investigation</t>
  </si>
  <si>
    <t>Consumer Safety Inspection</t>
  </si>
  <si>
    <t>Food Inspection</t>
  </si>
  <si>
    <t>Customs And Border Protection Interdiction</t>
  </si>
  <si>
    <t>Import Compliance Series</t>
  </si>
  <si>
    <t>Customs Entry And Liquidating</t>
  </si>
  <si>
    <t>Customs And Border Protection</t>
  </si>
  <si>
    <t>Border Patrol Enforcement Series</t>
  </si>
  <si>
    <t>Investigation Student Trainee</t>
  </si>
  <si>
    <t>Quality Assurance</t>
  </si>
  <si>
    <t>Agricultural Commodity Grading</t>
  </si>
  <si>
    <t>Agricultural Commodity Aid</t>
  </si>
  <si>
    <t>Quality Inspection Student Trainee</t>
  </si>
  <si>
    <t>General Supply</t>
  </si>
  <si>
    <t>Supply Program Management</t>
  </si>
  <si>
    <t>Supply Clerical And Technician</t>
  </si>
  <si>
    <t>Inventory Management</t>
  </si>
  <si>
    <t>Distribution Facilities and Storage Management</t>
  </si>
  <si>
    <t>Packaging</t>
  </si>
  <si>
    <t>Sales Store Clerical</t>
  </si>
  <si>
    <t>Supply Student Trainee</t>
  </si>
  <si>
    <t>Transportation Specialist</t>
  </si>
  <si>
    <t>Transportation Clerk And Assistant</t>
  </si>
  <si>
    <t>Transportation Industry Analysis</t>
  </si>
  <si>
    <t>Railroad Safety</t>
  </si>
  <si>
    <t>Motor Carrier Safety</t>
  </si>
  <si>
    <t>Highway Safety</t>
  </si>
  <si>
    <t>Traffic Management</t>
  </si>
  <si>
    <t>Freight Rate</t>
  </si>
  <si>
    <t>Transportation Loss and Damage Claims Examining</t>
  </si>
  <si>
    <t>Cargo Scheduling</t>
  </si>
  <si>
    <t>Transportation Operations</t>
  </si>
  <si>
    <t>Dispatching</t>
  </si>
  <si>
    <t>Air Traffic Control</t>
  </si>
  <si>
    <t>Air Traffic Assistance</t>
  </si>
  <si>
    <t>Marine Cargo</t>
  </si>
  <si>
    <t>Aircraft Operation</t>
  </si>
  <si>
    <t>Air Navigation</t>
  </si>
  <si>
    <t>Aircrew Technician</t>
  </si>
  <si>
    <t>Technical Systems Program Manager</t>
  </si>
  <si>
    <t>Transportation Student Trainee</t>
  </si>
  <si>
    <t>Information Technology Management</t>
  </si>
  <si>
    <t>Information Technology Student Trainee</t>
  </si>
  <si>
    <t>Misc Wire Communications Equipment Install &amp; Maintenance</t>
  </si>
  <si>
    <t>Telecommunications Mechanic</t>
  </si>
  <si>
    <t>Wire Communications Cable Splicing</t>
  </si>
  <si>
    <t>Misc Electronic Equipment Install &amp; Maintenance</t>
  </si>
  <si>
    <t>Electronic Measurement Equipment Mechanic</t>
  </si>
  <si>
    <t>Electronics Mechanic</t>
  </si>
  <si>
    <t>Electronic Industrial Controls Mechanic</t>
  </si>
  <si>
    <t>Electronic Digital Computer Mechanic</t>
  </si>
  <si>
    <t>Electronic Integrated Systems Mechanic</t>
  </si>
  <si>
    <t>Misc Electrical Installation and Maintenance</t>
  </si>
  <si>
    <t>Electrician</t>
  </si>
  <si>
    <t>High Voltage Electrician</t>
  </si>
  <si>
    <t>Electrical Equipment Repairer</t>
  </si>
  <si>
    <t>Aircraft Electrician</t>
  </si>
  <si>
    <t>Misc Fabric And Leather Work</t>
  </si>
  <si>
    <t>Fabric Working</t>
  </si>
  <si>
    <t>Upholstering</t>
  </si>
  <si>
    <t>Sewing Machine Operating</t>
  </si>
  <si>
    <t>Miscellaneous Instrument Work</t>
  </si>
  <si>
    <t>Optical Instrument Repairing</t>
  </si>
  <si>
    <t>Instrument Making</t>
  </si>
  <si>
    <t>Instrument Mechanic</t>
  </si>
  <si>
    <t>Precision Measurement Equipment Calibrating</t>
  </si>
  <si>
    <t>Miscellaneous Machine Tool Work</t>
  </si>
  <si>
    <t>Machining</t>
  </si>
  <si>
    <t>Toolmaking</t>
  </si>
  <si>
    <t>Die Sinking</t>
  </si>
  <si>
    <t>Misc General Services And Support Work</t>
  </si>
  <si>
    <t>Laboring</t>
  </si>
  <si>
    <t>Laboratory Working</t>
  </si>
  <si>
    <t>Coin/Currency Checking</t>
  </si>
  <si>
    <t>Laboratory Support Working</t>
  </si>
  <si>
    <t>Railroad Repairing</t>
  </si>
  <si>
    <t>Custodial Working</t>
  </si>
  <si>
    <t>Miscellaneous Structural and Finishing Work</t>
  </si>
  <si>
    <t>Cement Finishing</t>
  </si>
  <si>
    <t>Masonry</t>
  </si>
  <si>
    <t>Tile Setting</t>
  </si>
  <si>
    <t>Plastering</t>
  </si>
  <si>
    <t>Roofing</t>
  </si>
  <si>
    <t>Insulating</t>
  </si>
  <si>
    <t>Miscellaneous Metal Processing</t>
  </si>
  <si>
    <t>Welding</t>
  </si>
  <si>
    <t>Non-Destructive Testing</t>
  </si>
  <si>
    <t>Metalizing</t>
  </si>
  <si>
    <t>Electroplating</t>
  </si>
  <si>
    <t>Heat Treating</t>
  </si>
  <si>
    <t>Battery Repairing</t>
  </si>
  <si>
    <t>Buffing And Polishing</t>
  </si>
  <si>
    <t>Shot Peening Machine Operating</t>
  </si>
  <si>
    <t>Miscellaneous Metal Work</t>
  </si>
  <si>
    <t>Metal Forging</t>
  </si>
  <si>
    <t>Sheet Metal Mechanic</t>
  </si>
  <si>
    <t>Boilermaking</t>
  </si>
  <si>
    <t>Mobile Equipment Metal Mechanic</t>
  </si>
  <si>
    <t>Shipfitting</t>
  </si>
  <si>
    <t>Metal Tank And Radiator Repairing</t>
  </si>
  <si>
    <t>Metal Forming Machine Operating</t>
  </si>
  <si>
    <t>Metal Tube Making, Installing, and Repairing</t>
  </si>
  <si>
    <t>Misc Motion Picture, Radio, TV, &amp; Sound Equipment Operating</t>
  </si>
  <si>
    <t>Motion Picture Projection</t>
  </si>
  <si>
    <t>Broadcasting Equipment Operating</t>
  </si>
  <si>
    <t>Miscellaneous Lens And Crystal Work</t>
  </si>
  <si>
    <t>Prescription Eyeglass Making</t>
  </si>
  <si>
    <t>Miscellaneous Painting And Paperhanging</t>
  </si>
  <si>
    <t>Painting</t>
  </si>
  <si>
    <t>Sign Painting</t>
  </si>
  <si>
    <t>Miscellaneous Plumbing And Pipefitting</t>
  </si>
  <si>
    <t>Pipefitting</t>
  </si>
  <si>
    <t>Plumbing</t>
  </si>
  <si>
    <t>Fuel Distribution System Mechanic</t>
  </si>
  <si>
    <t>Miscellaneous Pliable Materials Work</t>
  </si>
  <si>
    <t>Composite/Plastic Fabricating</t>
  </si>
  <si>
    <t>Rubber Equipment Repairing</t>
  </si>
  <si>
    <t>Molding</t>
  </si>
  <si>
    <t>Miscellaneous Printing And Reproduction</t>
  </si>
  <si>
    <t>Bindery Working</t>
  </si>
  <si>
    <t>Hand Composing</t>
  </si>
  <si>
    <t>Letterpress Operating</t>
  </si>
  <si>
    <t>Negative Engraving</t>
  </si>
  <si>
    <t>Offset Photography</t>
  </si>
  <si>
    <t>Platemaking</t>
  </si>
  <si>
    <t>Offset Press Operating</t>
  </si>
  <si>
    <t>Bookbinding</t>
  </si>
  <si>
    <t>Electrolytic Intaglio Platemaking</t>
  </si>
  <si>
    <t>Intaglio Press Operating</t>
  </si>
  <si>
    <t>Miscellaneous Woodwork</t>
  </si>
  <si>
    <t>Blocking And Bracing</t>
  </si>
  <si>
    <t>Wood Working</t>
  </si>
  <si>
    <t>Wood Crafting</t>
  </si>
  <si>
    <t>Carpentry</t>
  </si>
  <si>
    <t>Patternmaking</t>
  </si>
  <si>
    <t>Misc General Maintenance and Operations Work</t>
  </si>
  <si>
    <t>Model Making</t>
  </si>
  <si>
    <t>Exhibits Making/Modeling</t>
  </si>
  <si>
    <t>Boat Building And Repairing</t>
  </si>
  <si>
    <t>General Equipment Mechanic</t>
  </si>
  <si>
    <t>General Equipment Operating</t>
  </si>
  <si>
    <t>Utility Systems Repairing-Operating</t>
  </si>
  <si>
    <t>Research Laboratory Mechanic</t>
  </si>
  <si>
    <t>Maintenance Mechanic</t>
  </si>
  <si>
    <t>Cemetery Caretaking</t>
  </si>
  <si>
    <t>Misc General Equipment Maintenance</t>
  </si>
  <si>
    <t>Locksmithing</t>
  </si>
  <si>
    <t>Medical Equipment Repairing</t>
  </si>
  <si>
    <t>Chemical Equipment Repairing</t>
  </si>
  <si>
    <t>Protective &amp; Safe Equipment Fabricating &amp; Repair</t>
  </si>
  <si>
    <t>Aircraft Survival Flight Equipment Repair</t>
  </si>
  <si>
    <t>Bowling Equipment Repairing</t>
  </si>
  <si>
    <t>Vending Machine Repairing</t>
  </si>
  <si>
    <t>Tool And Equipment Repairing</t>
  </si>
  <si>
    <t>Bearing Reconditioning</t>
  </si>
  <si>
    <t>Domestic Appliance Repairing</t>
  </si>
  <si>
    <t>Miscellaneous Plant And Animal Work</t>
  </si>
  <si>
    <t>Farming</t>
  </si>
  <si>
    <t>Gardening</t>
  </si>
  <si>
    <t>Pest Controlling</t>
  </si>
  <si>
    <t>Insects Production Working</t>
  </si>
  <si>
    <t>Tree Trimming And Removing</t>
  </si>
  <si>
    <t>Animal Caretaking</t>
  </si>
  <si>
    <t>Miscellaneous Occupations</t>
  </si>
  <si>
    <t>Gas And Radiation Detecting</t>
  </si>
  <si>
    <t>Rigging</t>
  </si>
  <si>
    <t>Shipwright</t>
  </si>
  <si>
    <t>Lofting</t>
  </si>
  <si>
    <t>Misc Industrial Equipment Maintenance</t>
  </si>
  <si>
    <t>Air Conditioning Equipment Mechanic</t>
  </si>
  <si>
    <t>Heating &amp; Boiler Plant Equipment Mechanic</t>
  </si>
  <si>
    <t>Kitchen/Bakery Equipment Repairing</t>
  </si>
  <si>
    <t>Elevator Mechanic</t>
  </si>
  <si>
    <t>Laundry &amp; Dry Cleaning Equipment Repairing</t>
  </si>
  <si>
    <t>Lock And Dam Repairing</t>
  </si>
  <si>
    <t>Oiling And Greasing</t>
  </si>
  <si>
    <t>Marine Machinery Mechanic</t>
  </si>
  <si>
    <t>Production Machinery Mechanic</t>
  </si>
  <si>
    <t>Industrial Equipment Mechanic</t>
  </si>
  <si>
    <t>Powered Support Systems Mechanic</t>
  </si>
  <si>
    <t>Misc Industrial Equipment Operation</t>
  </si>
  <si>
    <t>Boiler Plant Operating</t>
  </si>
  <si>
    <t>Utility Systems Operating</t>
  </si>
  <si>
    <t>Electrical Power Controlling</t>
  </si>
  <si>
    <t>Sewage Disposal Plant Operating</t>
  </si>
  <si>
    <t>Water Treatment Plant Operating</t>
  </si>
  <si>
    <t>Fuel Distribution System Operating</t>
  </si>
  <si>
    <t>Air Conditioning Equipment Operating</t>
  </si>
  <si>
    <t>Stationary-Engine Operating</t>
  </si>
  <si>
    <t>Sandblasting</t>
  </si>
  <si>
    <t>Lock And Dam Operating</t>
  </si>
  <si>
    <t>Chemical Plant Operating</t>
  </si>
  <si>
    <t>Elevator Operating</t>
  </si>
  <si>
    <t>Testing Equipment Operating</t>
  </si>
  <si>
    <t>Packaging Machine Operating</t>
  </si>
  <si>
    <t>Misc Transportation/Mobile Equipment Operating</t>
  </si>
  <si>
    <t>Motor Vehicle Operating</t>
  </si>
  <si>
    <t>Fork Lift Operating</t>
  </si>
  <si>
    <t>Tractor Operating</t>
  </si>
  <si>
    <t>Engineering Equipment Operating</t>
  </si>
  <si>
    <t>Crane Operating</t>
  </si>
  <si>
    <t>Drill Rig Operating</t>
  </si>
  <si>
    <t>Braking-Switching And Conducting</t>
  </si>
  <si>
    <t>Locomotive Engineering</t>
  </si>
  <si>
    <t>Railroad Maintenance Vehicle Operating</t>
  </si>
  <si>
    <t>Airfield Clearing Equipment Operating</t>
  </si>
  <si>
    <t>Ship Operating</t>
  </si>
  <si>
    <t>Riverboat Operating</t>
  </si>
  <si>
    <t>Small Craft Operating</t>
  </si>
  <si>
    <t>Deckhand</t>
  </si>
  <si>
    <t>Misc Transportation/Mobile Equipment Maintenance</t>
  </si>
  <si>
    <t>Heavy Mobile Equipment Mechanic</t>
  </si>
  <si>
    <t>Mobile Equipment Servicing</t>
  </si>
  <si>
    <t>Automotive Mechanic</t>
  </si>
  <si>
    <t>Electromotive Equipment Mechanic</t>
  </si>
  <si>
    <t>Misc Ammunitions, Explosives, &amp; Toxic Matter Work</t>
  </si>
  <si>
    <t>Explosives Operating</t>
  </si>
  <si>
    <t>Munitions Destroying</t>
  </si>
  <si>
    <t>Missile/Toxic Materials Handling</t>
  </si>
  <si>
    <t>Explosives Test Operating</t>
  </si>
  <si>
    <t>Miscellaneous Armament Work</t>
  </si>
  <si>
    <t>Artillery Repairing</t>
  </si>
  <si>
    <t>Small Arms Repairing</t>
  </si>
  <si>
    <t>Ordnance Equipment Mechanic</t>
  </si>
  <si>
    <t>Aircraft Ordnance Systems Mechanic</t>
  </si>
  <si>
    <t>Special Weapons Systems Mechanic</t>
  </si>
  <si>
    <t>Misc Warehousing And Stock Handling</t>
  </si>
  <si>
    <t>Tools And Parts Attending</t>
  </si>
  <si>
    <t>Materials Handler</t>
  </si>
  <si>
    <t>Materials Expediting</t>
  </si>
  <si>
    <t>Materials Examining And Identifying</t>
  </si>
  <si>
    <t>Hazardous Waste Disposing</t>
  </si>
  <si>
    <t>Store Working</t>
  </si>
  <si>
    <t>Bulk Money Handling</t>
  </si>
  <si>
    <t>Aircraft Freight Loading</t>
  </si>
  <si>
    <t>Miscellaneous Packing And Processing</t>
  </si>
  <si>
    <t>Packing</t>
  </si>
  <si>
    <t>Preservation Servicing</t>
  </si>
  <si>
    <t>Equipment Cleaning</t>
  </si>
  <si>
    <t>Misc Laundry, Dry Cleaning, And Pressing</t>
  </si>
  <si>
    <t>Laundry Working</t>
  </si>
  <si>
    <t>Laundry Machine Operating</t>
  </si>
  <si>
    <t>Misc Food Preparation And Serving</t>
  </si>
  <si>
    <t>Baking</t>
  </si>
  <si>
    <t>Cooking</t>
  </si>
  <si>
    <t>Bartending</t>
  </si>
  <si>
    <t>Meatcutting</t>
  </si>
  <si>
    <t>Food Service Working</t>
  </si>
  <si>
    <t>Waiter</t>
  </si>
  <si>
    <t>Miscellaneous Personal Services</t>
  </si>
  <si>
    <t>Barbering</t>
  </si>
  <si>
    <t>Misc Fluid Systems Maintenance</t>
  </si>
  <si>
    <t>Pneudraulic Systems Mechanic</t>
  </si>
  <si>
    <t>Aircraft Pneudraulic Systems Mechanic</t>
  </si>
  <si>
    <t>Miscellaneous Engine Overhaul</t>
  </si>
  <si>
    <t>Aircraft Engine Mechanic</t>
  </si>
  <si>
    <t>Small Engine Mechanic</t>
  </si>
  <si>
    <t>Miscellaneous Aircraft Overhaul</t>
  </si>
  <si>
    <t>Aircraft Propeller Mechanic</t>
  </si>
  <si>
    <t>Aircraft Mechanical Parts Repairing</t>
  </si>
  <si>
    <t>Aircraft Mechanic</t>
  </si>
  <si>
    <t>Aircraft Attending</t>
  </si>
  <si>
    <t>Miscellaneous Film Processing</t>
  </si>
  <si>
    <t>Film Assembling And Repairing</t>
  </si>
  <si>
    <t>Motion Picture Developing/Printing Machine Operating</t>
  </si>
  <si>
    <t>Miscellaneous Vessel Jobs</t>
  </si>
  <si>
    <t>Master</t>
  </si>
  <si>
    <t>Chief Officer Cable</t>
  </si>
  <si>
    <t>Ship Pilot</t>
  </si>
  <si>
    <t>First Officer</t>
  </si>
  <si>
    <t>Second Officer</t>
  </si>
  <si>
    <t>Third Officer</t>
  </si>
  <si>
    <t>Ship's Communication Officer</t>
  </si>
  <si>
    <t>Radio Officer</t>
  </si>
  <si>
    <t>First Assistant Radio Officer</t>
  </si>
  <si>
    <t>Radio Electronics Officer</t>
  </si>
  <si>
    <t>First Assistant Radio Electronics Officer</t>
  </si>
  <si>
    <t>Relief Deck Officer</t>
  </si>
  <si>
    <t>Damage Control Officer</t>
  </si>
  <si>
    <t>Assistant Damage Control Officer</t>
  </si>
  <si>
    <t>Master-MateFishing Vessel)</t>
  </si>
  <si>
    <t>Deck Midshipman</t>
  </si>
  <si>
    <t>Damage Control Leader</t>
  </si>
  <si>
    <t>Damage Control Assistant Leader</t>
  </si>
  <si>
    <t>Boatswain</t>
  </si>
  <si>
    <t>Carpenter</t>
  </si>
  <si>
    <t>Carpenter-Maintenance</t>
  </si>
  <si>
    <t>Boatswain's Mate</t>
  </si>
  <si>
    <t>Able Seaman</t>
  </si>
  <si>
    <t>Able Seaman-Maintenance</t>
  </si>
  <si>
    <t>Quartermaster</t>
  </si>
  <si>
    <t>Seaman-Fisherman</t>
  </si>
  <si>
    <t>Ordinary Seaman</t>
  </si>
  <si>
    <t>Damage Controlman</t>
  </si>
  <si>
    <t>Chief Engineer</t>
  </si>
  <si>
    <t>First Assistant Engineer</t>
  </si>
  <si>
    <t>Second Assistant Engineer</t>
  </si>
  <si>
    <t>Third Assistant Engineer</t>
  </si>
  <si>
    <t>Relief Engineer</t>
  </si>
  <si>
    <t>Engine Midshipman</t>
  </si>
  <si>
    <t>Chief Electrician</t>
  </si>
  <si>
    <t>Electrician-Maintenance</t>
  </si>
  <si>
    <t>Second Electrician</t>
  </si>
  <si>
    <t>Third Electrician</t>
  </si>
  <si>
    <t>Electronics Technician</t>
  </si>
  <si>
    <t>Refrigeration Engineer</t>
  </si>
  <si>
    <t>Second Refrigeration Engineer</t>
  </si>
  <si>
    <t>Third Refrigeration Engineer</t>
  </si>
  <si>
    <t>Plumber</t>
  </si>
  <si>
    <t>Assistant Plumber</t>
  </si>
  <si>
    <t>Plumber-Machinist</t>
  </si>
  <si>
    <t>Deck Engineer</t>
  </si>
  <si>
    <t>Deck Engineer-Machinist</t>
  </si>
  <si>
    <t>Deck Engineer-Mechanic</t>
  </si>
  <si>
    <t>Unlicensed Junior Engineer</t>
  </si>
  <si>
    <t>Pumpman</t>
  </si>
  <si>
    <t>Engineman</t>
  </si>
  <si>
    <t>Engine Utilityman</t>
  </si>
  <si>
    <t>Evaporator-Utilityman</t>
  </si>
  <si>
    <t>Machinist</t>
  </si>
  <si>
    <t>Oiler</t>
  </si>
  <si>
    <t>Oiler Diesel</t>
  </si>
  <si>
    <t>Refrigeration Oiler</t>
  </si>
  <si>
    <t>Fireman</t>
  </si>
  <si>
    <t>Fireman-Watertender</t>
  </si>
  <si>
    <t>Wiper</t>
  </si>
  <si>
    <t>Chief Steward</t>
  </si>
  <si>
    <t>Third Steward</t>
  </si>
  <si>
    <t>Chief Cook</t>
  </si>
  <si>
    <t>Steward Cook</t>
  </si>
  <si>
    <t>Second Cook</t>
  </si>
  <si>
    <t>Third Cook</t>
  </si>
  <si>
    <t>Assistant Cook</t>
  </si>
  <si>
    <t>Cook-Baker</t>
  </si>
  <si>
    <t>Second Cook-Baker</t>
  </si>
  <si>
    <t>Night Cook And Baker</t>
  </si>
  <si>
    <t>Steward Baker</t>
  </si>
  <si>
    <t>Third Pantryman</t>
  </si>
  <si>
    <t>Galleyman</t>
  </si>
  <si>
    <t>Laundryman</t>
  </si>
  <si>
    <t>Assistant Laundryman</t>
  </si>
  <si>
    <t>Messman</t>
  </si>
  <si>
    <t>Steward Utilityman</t>
  </si>
  <si>
    <t>Purser</t>
  </si>
  <si>
    <t>Junior Purser</t>
  </si>
  <si>
    <t>Disbursing Officer</t>
  </si>
  <si>
    <t>Supply Officer</t>
  </si>
  <si>
    <t>Assistant Supply Officer</t>
  </si>
  <si>
    <t>Junior Supply Officer</t>
  </si>
  <si>
    <t>Assistant Storekeeper</t>
  </si>
  <si>
    <t>Chief Radio Electronics Technician</t>
  </si>
  <si>
    <t>Medical Services Officer</t>
  </si>
  <si>
    <t>First Radio Electronics Technician</t>
  </si>
  <si>
    <t>Yeoman-Storekeeper</t>
  </si>
  <si>
    <t>Second Radio Electronics Technician</t>
  </si>
  <si>
    <t>Opm Title (2012)</t>
  </si>
  <si>
    <t>Code</t>
  </si>
  <si>
    <t>Telework %</t>
  </si>
  <si>
    <t>Historical COVID-19 case fatality rate (%) by age and region</t>
  </si>
  <si>
    <t>Age</t>
  </si>
  <si>
    <t>0–9</t>
  </si>
  <si>
    <t>10–19</t>
  </si>
  <si>
    <t>20–29</t>
  </si>
  <si>
    <t>30–39</t>
  </si>
  <si>
    <t>40–49</t>
  </si>
  <si>
    <t>50–59</t>
  </si>
  <si>
    <t>60–69</t>
  </si>
  <si>
    <t>70–79</t>
  </si>
  <si>
    <t>80–89</t>
  </si>
  <si>
    <t>90+</t>
  </si>
  <si>
    <t>Argentina as of 7 May[174]</t>
  </si>
  <si>
    <t>Australia as of 4 June[175]</t>
  </si>
  <si>
    <t>Canada as of 3 December[176]</t>
  </si>
  <si>
    <t>     Alberta as of 3 June[177]</t>
  </si>
  <si>
    <t>     Br. Columbia as of 2 June[178]</t>
  </si>
  <si>
    <t>     Ontario as of 3 June[179]</t>
  </si>
  <si>
    <t>     Quebec as of 2 June[180]</t>
  </si>
  <si>
    <t>Chile as of 31 May[181][182]</t>
  </si>
  <si>
    <t>China as of 11 February[183]</t>
  </si>
  <si>
    <t>Colombia as of 3 June[184]</t>
  </si>
  <si>
    <t>Denmark as of 4 June[185]</t>
  </si>
  <si>
    <t>Finland as of 1 December[186]</t>
  </si>
  <si>
    <t>Germany as of 5 June[187]</t>
  </si>
  <si>
    <t>     Bavaria as of 5 June[188]</t>
  </si>
  <si>
    <t>Israel as of 3 May[189]</t>
  </si>
  <si>
    <t>Italy as of 3 June[190]</t>
  </si>
  <si>
    <t>Japan as of 7 May[191]</t>
  </si>
  <si>
    <t>Mexico as of 3 June[192]</t>
  </si>
  <si>
    <t>Netherlands as of 3 June[193]</t>
  </si>
  <si>
    <t>Norway as of 1 December[194]</t>
  </si>
  <si>
    <t>Philippines as of 4 June[195]</t>
  </si>
  <si>
    <t>Portugal as of 3 June[196]</t>
  </si>
  <si>
    <t>South Africa as of 28 May[197]</t>
  </si>
  <si>
    <t>South Korea as of 1 December[198]</t>
  </si>
  <si>
    <t>Spain as of 29 May[199]</t>
  </si>
  <si>
    <t>Sweden as of 30 November[200]</t>
  </si>
  <si>
    <t>Switzerland as of 4 June[201]</t>
  </si>
  <si>
    <t>     Colorado as of 3 June[202]</t>
  </si>
  <si>
    <t>     Connecticut as of 3 June[203]</t>
  </si>
  <si>
    <t>     Georgia as of 3 June[204]</t>
  </si>
  <si>
    <t>     Idaho as of 3 June[205]</t>
  </si>
  <si>
    <t>     Indiana as of 3 June[206]</t>
  </si>
  <si>
    <t>     Kentucky as of 20 May[207]</t>
  </si>
  <si>
    <t>     Maryland as of 20 May[208]</t>
  </si>
  <si>
    <t>     Massachusetts as of 20 May[209]</t>
  </si>
  <si>
    <t>     Minnesota as of 13 May[210]</t>
  </si>
  <si>
    <t>     Mississippi as of 19 May[211]</t>
  </si>
  <si>
    <t>     Missouri as of 19 May[212]</t>
  </si>
  <si>
    <t>     Nevada as of 20 May[213]</t>
  </si>
  <si>
    <t>     N. Hampshire as of 12 May[214]</t>
  </si>
  <si>
    <t>     Oregon as of 12 May[215]</t>
  </si>
  <si>
    <t>     Texas as of 20 May[216]</t>
  </si>
  <si>
    <t>     Virginia as of 19 May[217]</t>
  </si>
  <si>
    <t>     Washington as of 10 May[218]</t>
  </si>
  <si>
    <t>     Wisconsin as of 20 May[219]</t>
  </si>
  <si>
    <t>https://en.wikipedia.org/w/index.php?title=COVID-19&amp;oldid=965423331#Prognosis</t>
  </si>
  <si>
    <t>v t e</t>
  </si>
  <si>
    <t>Average</t>
  </si>
  <si>
    <t>References starting at 174 going to 219</t>
  </si>
  <si>
    <t>"Sala de Situación COVID-19 Nuevo Coronavirus 2019 Novedades al 07/05 - 18 hs- SE 19" (PDF) (in Spanish). 7 May 2020.</t>
  </si>
  <si>
    <t>"Epidemiological summary of COVID-19 cases in Canada - Canada.ca". Public Health Agency of Canada. 3 December 2020. Retrieved 3 December 2020.</t>
  </si>
  <si>
    <t>"COVID-19 Alberta statistics". Government of Alberta.</t>
  </si>
  <si>
    <t>"British Columbia COVID-19 Daily Situation Report, June 3, 2020" (PDF). BC Centre for Disease Control.</t>
  </si>
  <si>
    <t>"Ontario COVID-19 Data Tool". Public Health Ontario.</t>
  </si>
  <si>
    <t>"Situation of the coronavirus (COVID-19) in Québec". www.quebec.ca.</t>
  </si>
  <si>
    <t>"22° informe epidemiológico COVID-19". Ministerio de Salud – Gobierno de Chile.</t>
  </si>
  <si>
    <t>https://cdn.digital.gob.cl/public_files/Campañas/Corona-Virus/Reportes/01.06.2020_Reporte_Covid19.pdf</t>
  </si>
  <si>
    <t>"Coronavirus Colombia". www.ins.gov.co.</t>
  </si>
  <si>
    <t>Overvågning af COVID-19 (Report) (in Danish). Statens Serum Institut. 4 June 2020. Retrieved 4 June 2020.</t>
  </si>
  <si>
    <t>"Coronavirus Disease 2019 (COVID-19) Daily Situation Report of the Robert Koch Institute 05/06/2020 - UPDATED STATUS FOR GERMANY" (PDF). Robert Koch Institute.</t>
  </si>
  <si>
    <t>https://www.lgl.bayern.de/gesundheit/infektionsschutz/infektionskrankheiten_a_z/coronavirus/karte_coronavirus/index.htm</t>
  </si>
  <si>
    <t>"קורונה - משרד הבריאות". Ministry of Health (Israel). 3 May 2020. Retrieved 5 May 2020.</t>
  </si>
  <si>
    <t>"Integrated surveillance of COVID-19 in Italy" (PDF). Istituto Superiore di Sanità.</t>
  </si>
  <si>
    <t>"Coronavirus Disease (COVID-19) Situation Report in Japan". toyokeizai.net.</t>
  </si>
  <si>
    <t>COVID-19 Tablero México - CONACYT (Report) (in Spanish). Mexico City: CONACYT. 3 June 2020. Retrieved 4 June 2020.</t>
  </si>
  <si>
    <t>Epidemiologische situatie COVID-19 in Nederland 3 juni 2020 (Report) (in Dutch). Bilthoven: Rijksinstituut voor Volksgezondheid en Milie. 4 June 2020. Retrieved 4 June 2020.</t>
  </si>
  <si>
    <t>"Daily report and statistics about coronavirus and COVID-19". Folkehelseinstituttet. 1 December 2020. Retrieved 1 December 2020.</t>
  </si>
  <si>
    <t>"COVID-19 Tracker | Department of Health website". Doh.gov.ph. 4 June 2020. Retrieved 4 June 2020.</t>
  </si>
  <si>
    <t>"NOVO CORONAVÍRUS COVID-19 RELATÓRIO DE SITUAÇÃO" (PDF) (in Portuguese). 4 June 2020. Retrieved 4 June 2020.</t>
  </si>
  <si>
    <t>"Update on Covid-19 (28th May 2020)". sacoronavirus.co.za. 29 May 2020.</t>
  </si>
  <si>
    <t>The updates on COVID-19 in Korea as of 1 December (Report). Korea Centers for Disease Control and Prevention. 1 December 2020. Retrieved 1 December 2020.</t>
  </si>
  <si>
    <t>Actualización nº 120. Enfermedad por el coronavirus (COVID-19) (PDF) (Report) (in Spanish). Ministerio de Sanidad, Consumo y Bienestar Social. 29 May 2020. Retrieved 8 August 2020.</t>
  </si>
  <si>
    <t>"FOHM Covid-19". Public Health Agency of Sweden. 1 December 2020.</t>
  </si>
  <si>
    <t>"Todesfälle in der Schweiz nach Altersgruppen". datawrapper.dwcdn.net. 4 June 2020. Retrieved 4 June 2020.</t>
  </si>
  <si>
    <t>"Case data | Colorado COVID-19 Updates". covid19.colorado.gov.</t>
  </si>
  <si>
    <t>"COVID-19 confirmed cases and deaths by age group | Connecticut Data". data.ct.gov. 3 June 2020. Retrieved 4 June 2020.</t>
  </si>
  <si>
    <t>Georgia Department of Public Health</t>
  </si>
  <si>
    <t>"Tableau Public". public.tableau.com.</t>
  </si>
  <si>
    <t>"COVID-19 Case Demographics - the Indiana Data Hub". hub.mph.in.gov.</t>
  </si>
  <si>
    <t>"KDPH COVID-19 Dashboard". Kygeonet.maps.arcgis.com. Retrieved 21 May 2020.</t>
  </si>
  <si>
    <t>Probable but not lab-confirmed deaths not included</t>
  </si>
  <si>
    <t>"COVID-19 Response Reporting". Mass.gov. 20 May 2020. Retrieved 20 May 2020.</t>
  </si>
  <si>
    <t>"Weekly COVID-19 Report 5/14/2020" (PDF). Minnesota Department of Health.</t>
  </si>
  <si>
    <t>"Coronavirus COVID-19 - Mississippi State Department of Health". msdh.ms.gov. 19 May 2020. Retrieved 20 May 2020.</t>
  </si>
  <si>
    <t>"Story Map Series". mophep.maps.arcgis.com.</t>
  </si>
  <si>
    <t>"Microsoft Power BI". app.powerbigov.us.</t>
  </si>
  <si>
    <t>"Microsoft Word - HAV Situation Report #6 07MAY19" (PDF). Retrieved 3 June 2020.</t>
  </si>
  <si>
    <t>"Oregon Health Authority | COVID-19 Updates". govstatus.egov.com.</t>
  </si>
  <si>
    <t>"Texas COVID-19 Data". Dshs.texas.gov. Retrieved 3 June 2020.</t>
  </si>
  <si>
    <t>"COVID-19 Cases in Virginia: Demographics". public.tableau.com. 20 May 2020. Retrieved 20 May 2020.</t>
  </si>
  <si>
    <t>"2019 Novel Coronavirus Outbreak (COVID-19)". Washington State Department of Health. 19 May 2020. Retrieved 20 May 2020.</t>
  </si>
  <si>
    <t>"COVID-19: Wisconsin Deaths". Wisconsin Department of Health Services. 17 April 2020.</t>
  </si>
  <si>
    <r>
      <t>Health, Australian Government Department of (4 June 2020). "COVID-19 cases by age group and sex". Australian Government Department of Health. Retrieved 4 June 2020.</t>
    </r>
    <r>
      <rPr>
        <sz val="11"/>
        <color theme="1"/>
        <rFont val="Calibri"/>
        <family val="2"/>
        <scheme val="minor"/>
      </rPr>
      <t xml:space="preserve"> </t>
    </r>
    <r>
      <rPr>
        <i/>
        <sz val="11"/>
        <color theme="1"/>
        <rFont val="Calibri"/>
        <family val="2"/>
        <scheme val="minor"/>
      </rPr>
      <t>Health, Australian Government Department of (4 June 2020). "COVID-19 deaths by age group and sex". Australian Government Department of Health. Retrieved 4 June 2020.</t>
    </r>
  </si>
  <si>
    <r>
      <t xml:space="preserve">Yanping Z, et al. (The Novel Coronavirus Pneumonia Emergency Response Epidemiology Team) (17 February 2020). "The Epidemiological Characteristics of an Outbreak of 2019 Novel Coronavirus Diseases (COVID-19)—China, 2020". China CDC Weekly. Chinese Center for Disease Control and Prevention. </t>
    </r>
    <r>
      <rPr>
        <b/>
        <i/>
        <sz val="11"/>
        <color theme="1"/>
        <rFont val="Calibri"/>
        <family val="2"/>
        <scheme val="minor"/>
      </rPr>
      <t>2</t>
    </r>
    <r>
      <rPr>
        <i/>
        <sz val="11"/>
        <color theme="1"/>
        <rFont val="Calibri"/>
        <family val="2"/>
        <scheme val="minor"/>
      </rPr>
      <t xml:space="preserve"> (8): 113–122. Archived from the original on 19 February 2020. Retrieved 18 March 2020.</t>
    </r>
  </si>
  <si>
    <r>
      <t>"Confirmed coronavirus cases (COVID-19) in Finland". experience.arcgis.com. THL.</t>
    </r>
    <r>
      <rPr>
        <sz val="11"/>
        <color theme="1"/>
        <rFont val="Calibri"/>
        <family val="2"/>
        <scheme val="minor"/>
      </rPr>
      <t xml:space="preserve"> </t>
    </r>
    <r>
      <rPr>
        <i/>
        <sz val="11"/>
        <color theme="1"/>
        <rFont val="Calibri"/>
        <family val="2"/>
        <scheme val="minor"/>
      </rPr>
      <t>"Tilannekatsaus koronaviruksesta - Infektiotaudit ja rokotukset - THL". Terveyden ja hyvinvoinnin laitos.</t>
    </r>
  </si>
  <si>
    <t>System Health Availability 1-P</t>
  </si>
  <si>
    <t>System Health Availability with UV @90%</t>
  </si>
  <si>
    <t>System Health Availability  Vaccine @90%</t>
  </si>
  <si>
    <t>Personal COVID Death Chance with  Vaccine</t>
  </si>
  <si>
    <t>Personal System  Health Availability  with Vaccine</t>
  </si>
  <si>
    <t>Infection Chance 1/P  (visits)</t>
  </si>
  <si>
    <t>Infection Chance 1/P Vaccine @90% (visits)</t>
  </si>
  <si>
    <t>Infection Chance 1/P with UV @90% (visits)</t>
  </si>
  <si>
    <t>Resparation cu-ft/min</t>
  </si>
  <si>
    <t>Design</t>
  </si>
  <si>
    <t>Case History</t>
  </si>
  <si>
    <t>Devices in affected building</t>
  </si>
  <si>
    <t>Infection cases</t>
  </si>
  <si>
    <t>Single building</t>
  </si>
  <si>
    <t>School district ft-2 (million)</t>
  </si>
  <si>
    <t>Mechanical Ventilation Design Req cu-ft/min</t>
  </si>
  <si>
    <t>Mechanical Ventilation Actual cu-ft/min</t>
  </si>
  <si>
    <t>160 l/s/patient (hourly average ventilation rate) for airborne precaution rooms (with a minimum of 80 l/s/patient) (note that this only applies to new health-care facilities and major renovations)</t>
  </si>
  <si>
    <t>60 l/s/patient for general wards and outpatient departments</t>
  </si>
  <si>
    <t>2.5 l/s/m3 for corridors and other transient spaces without a fixed number of patients</t>
  </si>
  <si>
    <t>1 litre = 28.3168</t>
  </si>
  <si>
    <t>l/s</t>
  </si>
  <si>
    <t>cu-ft/sec</t>
  </si>
  <si>
    <t>General Areas</t>
  </si>
  <si>
    <t>Transit Spaces</t>
  </si>
  <si>
    <t>WHO Recommendations</t>
  </si>
  <si>
    <t>https://www.nbcphiladelphia.com/news/coronavirus/8-classmates-2-fully-vaccinated-family-members-test-positive-for-covid-in-lower-merion/2791754/</t>
  </si>
  <si>
    <t>https://www.lmsd.org/departments/health/coronavirus-response/dashboard</t>
  </si>
  <si>
    <t>https://whyy.org/articles/parents-divided-after-covid-19-outbreak-at-lower-merion-school/</t>
  </si>
  <si>
    <t>https://www.inquirer.com/education/lower-merion-school-district-penn-valley-covid-outbreak-hvac-20210426.html</t>
  </si>
  <si>
    <t>Due to the scope of the outbreak, district staff evaluated the classroom’s HVAC system and found that a part within the ductwork above the ceiling “was too far closed, allowing only (approximately) 30% of the maximum amount of fresh air it should have into this specific room,” Terry Quinlan, lead supervisor of school health and student safety for the district, said in an email to families Friday.</t>
  </si>
  <si>
    <t>8 students + 2 others</t>
  </si>
  <si>
    <t>Patient Room Airborne Precautions</t>
  </si>
  <si>
    <t>Room cu-ft (3.3 ft/m)</t>
  </si>
  <si>
    <t>Room size 4×2×3 M</t>
  </si>
  <si>
    <t>Contagion Mitigation Level (CML)</t>
  </si>
  <si>
    <t>CML</t>
  </si>
  <si>
    <t>ACH Avg</t>
  </si>
  <si>
    <t>CML min</t>
  </si>
  <si>
    <t>CML max</t>
  </si>
  <si>
    <t>CML avg</t>
  </si>
  <si>
    <t>Min/ Chg worst</t>
  </si>
  <si>
    <t>Min/ Chg best</t>
  </si>
  <si>
    <t>Contagion Mitigation Certification Level (CMCL)</t>
  </si>
  <si>
    <t>CMCL = CML</t>
  </si>
  <si>
    <t>CDC Vaccine Breakthrough Infections Data</t>
  </si>
  <si>
    <t>Fully vaccinated</t>
  </si>
  <si>
    <t>Total number of vaccine breakthrough infections reported to CDC</t>
  </si>
  <si>
    <t>Females</t>
  </si>
  <si>
    <t>People aged =60 years</t>
  </si>
  <si>
    <t>Asymptomatic infections</t>
  </si>
  <si>
    <t>Personal COVID-19 Death Chance with Vaccine</t>
  </si>
  <si>
    <t>Personal System Health Availability with Vaccine</t>
  </si>
  <si>
    <t xml:space="preserve"> (9%) note 1</t>
  </si>
  <si>
    <t xml:space="preserve"> (1%) note 2</t>
  </si>
  <si>
    <t>1. Of the 835 hospitalizations, 241 (29%) were reported as asymptomatic or not related to COVID-19.</t>
  </si>
  <si>
    <t>2. Of the 132 fatal cases, 20 (15%) were reported as asymptomatic or not related to COVID-19.</t>
  </si>
  <si>
    <t>Notes:</t>
  </si>
  <si>
    <t>Lifetime odds of death for selected causes, United States, 2019</t>
  </si>
  <si>
    <t>Cause of Death</t>
  </si>
  <si>
    <t>Odds of Dying</t>
  </si>
  <si>
    <t>1 in 6</t>
  </si>
  <si>
    <t>1 in 7</t>
  </si>
  <si>
    <t>1 in 24</t>
  </si>
  <si>
    <t>1 in 27</t>
  </si>
  <si>
    <t>1 in 88</t>
  </si>
  <si>
    <t>1 in 92</t>
  </si>
  <si>
    <t>1 in 106</t>
  </si>
  <si>
    <t>1 in 107</t>
  </si>
  <si>
    <t>1 in 289</t>
  </si>
  <si>
    <t>1 in 543</t>
  </si>
  <si>
    <t>1 in 899</t>
  </si>
  <si>
    <t>1 in 1,128</t>
  </si>
  <si>
    <t>1 in 1,547</t>
  </si>
  <si>
    <t>1 in 2,535</t>
  </si>
  <si>
    <t>1 in 3,825</t>
  </si>
  <si>
    <t>1 in 8,248</t>
  </si>
  <si>
    <t>1 in 8,571</t>
  </si>
  <si>
    <t>1 in 13,394</t>
  </si>
  <si>
    <t>1 in 29,334</t>
  </si>
  <si>
    <t>1 in 58,669</t>
  </si>
  <si>
    <t>1 in 59,507</t>
  </si>
  <si>
    <t>1 in 63,113</t>
  </si>
  <si>
    <t>1 in 86,781</t>
  </si>
  <si>
    <t>1 in 138,849</t>
  </si>
  <si>
    <t xml:space="preserve">Heart disease </t>
  </si>
  <si>
    <t xml:space="preserve">Cancer </t>
  </si>
  <si>
    <t xml:space="preserve">All preventable causes of death </t>
  </si>
  <si>
    <t xml:space="preserve">Chronic lower respiratory disease </t>
  </si>
  <si>
    <t xml:space="preserve">Suicide </t>
  </si>
  <si>
    <t>Opioid overdose</t>
  </si>
  <si>
    <t>Motor-vehicle crash</t>
  </si>
  <si>
    <t xml:space="preserve">Gun assault </t>
  </si>
  <si>
    <t>Pedestrian incident</t>
  </si>
  <si>
    <t xml:space="preserve">Motorcyclist </t>
  </si>
  <si>
    <t>Drowning</t>
  </si>
  <si>
    <t>Fire or smoke</t>
  </si>
  <si>
    <t xml:space="preserve">Choking on food </t>
  </si>
  <si>
    <t>Bicyclist</t>
  </si>
  <si>
    <t xml:space="preserve">Sunstroke </t>
  </si>
  <si>
    <t xml:space="preserve">Accidental gun discharge </t>
  </si>
  <si>
    <t xml:space="preserve">Electrocution, radiation, extreme temperatures, and pressure </t>
  </si>
  <si>
    <t xml:space="preserve">Sharp objects </t>
  </si>
  <si>
    <t>Cataclysmic storm</t>
  </si>
  <si>
    <t xml:space="preserve">Hornet, wasp, and bee stings </t>
  </si>
  <si>
    <t xml:space="preserve">Hot surfaces and substances </t>
  </si>
  <si>
    <t xml:space="preserve">Dog attack </t>
  </si>
  <si>
    <t xml:space="preserve">Lightning </t>
  </si>
  <si>
    <t xml:space="preserve">Railway passenger </t>
  </si>
  <si>
    <t>Too few deaths in 2019 to calculate odds</t>
  </si>
  <si>
    <t xml:space="preserve">Passenger on an airplane </t>
  </si>
  <si>
    <t>other sources</t>
  </si>
  <si>
    <t>https://injuryfacts.nsc.org/all-injuries/preventable-death-overview/odds-of-dying/</t>
  </si>
  <si>
    <t>1 in 719,697</t>
  </si>
  <si>
    <t>.17 out of 1 million</t>
  </si>
  <si>
    <t xml:space="preserve"> Vaccine Breakthrough Deaths (see above April 26, 2021)</t>
  </si>
  <si>
    <t>Ceiling ft</t>
  </si>
  <si>
    <t>ceiling ft</t>
  </si>
  <si>
    <t>Dilution (sq-ft ration)</t>
  </si>
  <si>
    <t>Dilution (cu-ft ratio)</t>
  </si>
  <si>
    <t>L or W ft</t>
  </si>
  <si>
    <t>Daily Death Rates</t>
  </si>
  <si>
    <t>Flu Season Average 2010-2020</t>
  </si>
  <si>
    <t>[A] Source: https://www.cdc.gov/nchs/fastats/leading-causes-of-death.htm</t>
  </si>
  <si>
    <t>[A]</t>
  </si>
  <si>
    <t>Leading Causes of Death (2019)</t>
  </si>
  <si>
    <t>Annual</t>
  </si>
  <si>
    <t>Daily</t>
  </si>
  <si>
    <t>Description</t>
  </si>
  <si>
    <t>Unit Length w/o end covers (inches)</t>
  </si>
  <si>
    <t>Unit Depth - Standard (inches)</t>
  </si>
  <si>
    <t>Unit Depth - with false back (inches)</t>
  </si>
  <si>
    <t>Unit Height - Standard (inches)</t>
  </si>
  <si>
    <t>Shipping Weight (Lbs.)</t>
  </si>
  <si>
    <t>School Unit Ventilators</t>
  </si>
  <si>
    <t>Unit Size (CFM)</t>
  </si>
  <si>
    <t>Vendor</t>
  </si>
  <si>
    <t>Trane</t>
  </si>
  <si>
    <t>Unit Length w/o end covers (ft)</t>
  </si>
  <si>
    <t>size</t>
  </si>
  <si>
    <t>qty</t>
  </si>
  <si>
    <t>System Approach</t>
  </si>
  <si>
    <t>Req Feet</t>
  </si>
  <si>
    <t>Level</t>
  </si>
  <si>
    <t>State</t>
  </si>
  <si>
    <t>Window Time</t>
  </si>
  <si>
    <t>Green</t>
  </si>
  <si>
    <t>1.2 min</t>
  </si>
  <si>
    <t>Yellow</t>
  </si>
  <si>
    <t>2.5 min</t>
  </si>
  <si>
    <t>6 min</t>
  </si>
  <si>
    <t>Orange</t>
  </si>
  <si>
    <t>Red</t>
  </si>
  <si>
    <t>1 hr</t>
  </si>
  <si>
    <t>full time</t>
  </si>
  <si>
    <t>PCO / Ionizers performance needs to be translated to ACH</t>
  </si>
  <si>
    <t>epAUC</t>
  </si>
  <si>
    <t>Room epAUC</t>
  </si>
  <si>
    <t>virus load is massive compared to real world scenario, can the result change if the virus load is reduced</t>
  </si>
  <si>
    <t>Test Virus Load</t>
  </si>
  <si>
    <t>this assumes the ions can uniformly fill the space and attract all the airborne virus</t>
  </si>
  <si>
    <t>Size</t>
  </si>
  <si>
    <t>this is rthe baseline to compare PCO / Ionizers</t>
  </si>
  <si>
    <t>There is no data to determine the number of ions / min per cu-ft needed to prevent infection</t>
  </si>
  <si>
    <t>Injection Time min</t>
  </si>
  <si>
    <t>99% Kill Time min</t>
  </si>
  <si>
    <t>Virus Load at Sample Time</t>
  </si>
  <si>
    <t>Killed Virus Level</t>
  </si>
  <si>
    <t>Ions Needed to Kill 1 Virus</t>
  </si>
  <si>
    <t>Ions Produced</t>
  </si>
  <si>
    <t>Ions / Min</t>
  </si>
  <si>
    <t>Room cu-ft</t>
  </si>
  <si>
    <t>Ions / Min per cu-ft</t>
  </si>
  <si>
    <t>Number of Ions / Min per cu-ft Needed to Kill 99% of Virus</t>
  </si>
  <si>
    <t>Test Chamber Size cu-ft</t>
  </si>
  <si>
    <t>99% Kill Time Min</t>
  </si>
  <si>
    <t>epAUC in Test Chamber</t>
  </si>
  <si>
    <t>Real World Virus Load in 3 Min</t>
  </si>
  <si>
    <t>Virus Load Adjustment Factor</t>
  </si>
  <si>
    <t>Ions That Find and Kill Virus %</t>
  </si>
  <si>
    <t>epAUC With Virus Load Adjustment Factor</t>
  </si>
  <si>
    <t>epAUC in Room</t>
  </si>
  <si>
    <t>Test Chamber / Room Factor</t>
  </si>
  <si>
    <t>Virus Destruction %</t>
  </si>
  <si>
    <t>Room Size cu-ft</t>
  </si>
  <si>
    <t>Adjust epAUC from test chamber to real world room size</t>
  </si>
  <si>
    <t>Adjust epAUC from test virus load to real world viral load</t>
  </si>
  <si>
    <t>Virus Load Control</t>
  </si>
  <si>
    <t>Virus Remaining Avg</t>
  </si>
  <si>
    <t>na</t>
  </si>
  <si>
    <t>too many remaining viruses</t>
  </si>
  <si>
    <t>This suggests that the expected ion virus collision probability is 5%</t>
  </si>
  <si>
    <t>This suggest the ion virus collision probability is 50%</t>
  </si>
  <si>
    <t>these numbers are very high</t>
  </si>
  <si>
    <t>HEPA Room Sanitzers</t>
  </si>
  <si>
    <t>Product</t>
  </si>
  <si>
    <t>Amaircare 3000 HEPA Air Purifier</t>
  </si>
  <si>
    <t>Rabbit Air - Minus A2 SPA-780A - Ultra Quiet HEPA Air Purifier</t>
  </si>
  <si>
    <t>Weight Lbs</t>
  </si>
  <si>
    <t>Watts Max</t>
  </si>
  <si>
    <t>Austin Air Bedroom Machine HEPA &amp; Carbon Filter Air Purifier</t>
  </si>
  <si>
    <t>CFM Post Filter</t>
  </si>
  <si>
    <t>CFM Pre Filter</t>
  </si>
  <si>
    <t>Airpura R600 R614 All Purpose</t>
  </si>
  <si>
    <t>[1] https://www.usairpurifiers.com/blog/quiet-hepa-air-purifiers-5-low-noise-models</t>
  </si>
  <si>
    <t>Notes</t>
  </si>
  <si>
    <t>18+</t>
  </si>
  <si>
    <t>Highest CFM in industry claim</t>
  </si>
  <si>
    <t>[2] https://reviewsofairpurifiers.com/best-air-purifier-for-classroom/</t>
  </si>
  <si>
    <t>[3] https://airpurifiers.com/clean-air-for-schools</t>
  </si>
  <si>
    <t>Medify MA-112 V2.0</t>
  </si>
  <si>
    <t>dB High</t>
  </si>
  <si>
    <t>dB Med</t>
  </si>
  <si>
    <t>dB Low</t>
  </si>
  <si>
    <t>Clean Air Delivery Rate (CADR) 950 cu-m/h = 559 cu-ft/min</t>
  </si>
  <si>
    <t>Blueair Classic 605</t>
  </si>
  <si>
    <t>Certified clean air delivery rate (CADR) of 500 cubic feet per minute with a superior</t>
  </si>
  <si>
    <t>Coway Airmega 400</t>
  </si>
  <si>
    <t>Unable to verify 416 CFM stated in reference</t>
  </si>
  <si>
    <t>Size Inches</t>
  </si>
  <si>
    <t>20.25 H x 21.4 W x 7 D</t>
  </si>
  <si>
    <t>28.3 H x 15.7 W x 15.4 D</t>
  </si>
  <si>
    <t>13 x 20 x 26</t>
  </si>
  <si>
    <t>14.8 x 14.8 x 22.8</t>
  </si>
  <si>
    <t>23 H x 15 W</t>
  </si>
  <si>
    <t>23 H x 16 W</t>
  </si>
  <si>
    <t xml:space="preserve"> 23 H x 14.5 W x 14.5 D</t>
  </si>
  <si>
    <t>Unable to locate CFM specs for the recommended products.</t>
  </si>
  <si>
    <t>CADR</t>
  </si>
  <si>
    <t>Clear Air Delivery Rate (CADR) is the CFM of air in a 1,008-cubic-foot (28.5 m3) room that has had all the particles of a given size distribution removed from the air, over and above the rate at which the particles are naturally falling out of the air. Different filters have different abilities to remove different particle distributions, so three CADR's for a given device are typically measured: smoke, pollen, and dust.</t>
  </si>
  <si>
    <t>https://en.wikipedia.org/wiki/Clean_air_delivery_rate</t>
  </si>
  <si>
    <t>Class room cu-ft</t>
  </si>
  <si>
    <t>XPOWER AP-2000 Portable HEPA Air Filtration System</t>
  </si>
  <si>
    <t xml:space="preserve">[4] </t>
  </si>
  <si>
    <t>32 H x 29 W</t>
  </si>
  <si>
    <t>Too loud for classroom</t>
  </si>
  <si>
    <t>A/B cu-ft</t>
  </si>
  <si>
    <t>A/B Virus Load</t>
  </si>
  <si>
    <t>Installation</t>
  </si>
  <si>
    <t xml:space="preserve">Company </t>
  </si>
  <si>
    <t>Test Lab</t>
  </si>
  <si>
    <t>Test Data</t>
  </si>
  <si>
    <t>A. MDU/Rx</t>
  </si>
  <si>
    <t>Room</t>
  </si>
  <si>
    <t>www.mdurx.com (ODOROX)</t>
  </si>
  <si>
    <t>www.arelabs.com</t>
  </si>
  <si>
    <t>MDU RX Test Data arelabs [5]</t>
  </si>
  <si>
    <t>www.InnovativeBioanalysis.com</t>
  </si>
  <si>
    <t>MDU RX Test Data IB [6]</t>
  </si>
  <si>
    <t>www.compbio.com</t>
  </si>
  <si>
    <t>Toxicity Report [7]</t>
  </si>
  <si>
    <t>B. GPS FC48-AC</t>
  </si>
  <si>
    <t>HVAC</t>
  </si>
  <si>
    <t>www.globalplasmasolutions.com</t>
  </si>
  <si>
    <t>GPS Test Data 1 [8]</t>
  </si>
  <si>
    <t>GPS Test Data 2 [9]</t>
  </si>
  <si>
    <t>GPS Test Data Comments [10]</t>
  </si>
  <si>
    <t>GPS-iMEASURE</t>
  </si>
  <si>
    <t>Ion Detector</t>
  </si>
  <si>
    <t>Measure ion levels</t>
  </si>
  <si>
    <t>C. ActivePure Medical Guardian</t>
  </si>
  <si>
    <t>ActivePure</t>
  </si>
  <si>
    <t>Products Brochure</t>
  </si>
  <si>
    <t>www.activepure.com</t>
  </si>
  <si>
    <t>University of Texas Medical Branch (UTMB)</t>
  </si>
  <si>
    <t>Aerus Technology Test Data [11]</t>
  </si>
  <si>
    <t>Air Ion Counters</t>
  </si>
  <si>
    <t>Ion Counters</t>
  </si>
  <si>
    <t>www.alphalabinc.com</t>
  </si>
  <si>
    <t>About Air Ions</t>
  </si>
  <si>
    <t>https://www.trane.com/Commercial/Uploads/Pdf/1092/uvprc003en.pdf</t>
  </si>
  <si>
    <t>Links see below</t>
  </si>
  <si>
    <t>Product C: ActivePure Medical Guardian</t>
  </si>
  <si>
    <t>PCO / Ionizer Links</t>
  </si>
  <si>
    <t>Note: Test data may be flawed because Ion rate may have been 13X higher than product. This is an unsubstantiated claim as of August 2021.</t>
  </si>
  <si>
    <t>Test Data Analysis</t>
  </si>
  <si>
    <t>Product A: MDU/Rx</t>
  </si>
  <si>
    <t>Product B: GPS FC48-AC 10K ions/cu-cm</t>
  </si>
  <si>
    <t>Product B: GPS FC48-AC 18K ions/cu-cm</t>
  </si>
  <si>
    <t>https://www.lakeair.com/air-changes-per-hour/</t>
  </si>
  <si>
    <t>https://www.cdc.gov/infectioncontrol/guidelines/environmental/appendix/air.html</t>
  </si>
  <si>
    <t>https://en.wikipedia.org/wiki/Air_changes_per_hour</t>
  </si>
  <si>
    <t>https://www.atlenv.com/building-ventilation-the-proper-air-changes-per-hour-ach</t>
  </si>
  <si>
    <t>https://www.engineeringtoolbox.com/ventilation-air-flow-rate-d_115.html</t>
  </si>
  <si>
    <t>Greenheck</t>
  </si>
  <si>
    <t>https://www.scribd.com/document/325713225/Air-Changes-Greenheck</t>
  </si>
  <si>
    <t>https://www.contractingbusiness.com/service/article/20868246/use-the-air-changes-calculation-to-determine-room-cfm</t>
  </si>
  <si>
    <t>EPA / Various</t>
  </si>
  <si>
    <t>Total Deaths Caused By Unvaccinated</t>
  </si>
  <si>
    <t>Vaccine available to all in US</t>
  </si>
  <si>
    <t>Daily Cases (mon)</t>
  </si>
  <si>
    <t>Total Deaths (mon)</t>
  </si>
  <si>
    <t>8 (66.7)</t>
  </si>
  <si>
    <t>0 (0.0)</t>
  </si>
  <si>
    <t xml:space="preserve">Table 7. Frequency of Solicited Local Reactions by Severity, Within 7 Days After Dose 2 Compared to After Booster Dose of BNT162b2 30 µg Among Participants in Phase 1/2/3 Study C4591001 </t>
  </si>
  <si>
    <t xml:space="preserve"> </t>
  </si>
  <si>
    <t xml:space="preserve">Injection Site Pain </t>
  </si>
  <si>
    <t xml:space="preserve">Any  </t>
  </si>
  <si>
    <t xml:space="preserve">2426 (83.7) </t>
  </si>
  <si>
    <t xml:space="preserve">2101 (78.3) </t>
  </si>
  <si>
    <t xml:space="preserve">240 (83.0) </t>
  </si>
  <si>
    <t xml:space="preserve">Mildd </t>
  </si>
  <si>
    <t xml:space="preserve">1464 (50.5) </t>
  </si>
  <si>
    <t xml:space="preserve">1274 (47.5) </t>
  </si>
  <si>
    <t xml:space="preserve">174 (60.2) </t>
  </si>
  <si>
    <t xml:space="preserve">Moderate </t>
  </si>
  <si>
    <t xml:space="preserve">923 (31.8) </t>
  </si>
  <si>
    <t xml:space="preserve">788 (29.4) </t>
  </si>
  <si>
    <t xml:space="preserve">65 (22.5) </t>
  </si>
  <si>
    <t xml:space="preserve">Severe </t>
  </si>
  <si>
    <t xml:space="preserve">39 (1.3) </t>
  </si>
  <si>
    <t xml:space="preserve">39 (1.5) </t>
  </si>
  <si>
    <t xml:space="preserve">1 (0.3) </t>
  </si>
  <si>
    <t xml:space="preserve">Swelling </t>
  </si>
  <si>
    <t xml:space="preserve">Any (&gt;2.0 cm) </t>
  </si>
  <si>
    <t xml:space="preserve">184 (6.3) </t>
  </si>
  <si>
    <t xml:space="preserve">183 (6.8) </t>
  </si>
  <si>
    <t xml:space="preserve">23 (8.0) </t>
  </si>
  <si>
    <t xml:space="preserve">Milde </t>
  </si>
  <si>
    <t xml:space="preserve">124 (4.3) </t>
  </si>
  <si>
    <t xml:space="preserve">110 (4.1) </t>
  </si>
  <si>
    <t xml:space="preserve">13 (4.5) </t>
  </si>
  <si>
    <t xml:space="preserve">54 (1.9) </t>
  </si>
  <si>
    <t xml:space="preserve">66 (2.5) </t>
  </si>
  <si>
    <t xml:space="preserve">9 (3.1) </t>
  </si>
  <si>
    <t xml:space="preserve">6 (0.2) </t>
  </si>
  <si>
    <t xml:space="preserve">7 (0.3) </t>
  </si>
  <si>
    <t xml:space="preserve">Redness </t>
  </si>
  <si>
    <t xml:space="preserve">156 (5.4) </t>
  </si>
  <si>
    <t xml:space="preserve">151 (5.6) </t>
  </si>
  <si>
    <t xml:space="preserve">17 (5.9) </t>
  </si>
  <si>
    <t xml:space="preserve">113 (3.9) </t>
  </si>
  <si>
    <t xml:space="preserve">90 (3.4) </t>
  </si>
  <si>
    <t xml:space="preserve">10 (3.5) </t>
  </si>
  <si>
    <t xml:space="preserve">36 (1.2) </t>
  </si>
  <si>
    <t xml:space="preserve">50 (1.9) </t>
  </si>
  <si>
    <t xml:space="preserve">7 (2.4) </t>
  </si>
  <si>
    <t xml:space="preserve">Severe  7 (0.2) </t>
  </si>
  <si>
    <t xml:space="preserve">11 (0.4) </t>
  </si>
  <si>
    <t xml:space="preserve">0 (0.0) </t>
  </si>
  <si>
    <t xml:space="preserve">Fatigue </t>
  </si>
  <si>
    <t xml:space="preserve">Any </t>
  </si>
  <si>
    <t xml:space="preserve">1431 (49.4) </t>
  </si>
  <si>
    <t xml:space="preserve">1649 (61.5) </t>
  </si>
  <si>
    <t xml:space="preserve">185 (63.8) </t>
  </si>
  <si>
    <t>5 (41.7)</t>
  </si>
  <si>
    <t xml:space="preserve">Milda </t>
  </si>
  <si>
    <t xml:space="preserve">760 (26.2) </t>
  </si>
  <si>
    <t xml:space="preserve">558 (20.8) </t>
  </si>
  <si>
    <t xml:space="preserve">69 (23.8) </t>
  </si>
  <si>
    <t>2 (16.7)</t>
  </si>
  <si>
    <t xml:space="preserve">630 (21.7) </t>
  </si>
  <si>
    <t xml:space="preserve">949 (35.4) </t>
  </si>
  <si>
    <t xml:space="preserve">103 (35.5) </t>
  </si>
  <si>
    <t>3 (25.0)</t>
  </si>
  <si>
    <t xml:space="preserve">41 (1.4) </t>
  </si>
  <si>
    <t xml:space="preserve">142 (5.3) </t>
  </si>
  <si>
    <t xml:space="preserve">Headache </t>
  </si>
  <si>
    <t xml:space="preserve">1262 (43.5) </t>
  </si>
  <si>
    <t xml:space="preserve">1448 (54.0) </t>
  </si>
  <si>
    <t xml:space="preserve">140 (48.4) </t>
  </si>
  <si>
    <t xml:space="preserve">785 (27.1) </t>
  </si>
  <si>
    <t xml:space="preserve">699 (26.1) </t>
  </si>
  <si>
    <t xml:space="preserve">83 (28.7) </t>
  </si>
  <si>
    <t>4 (33.3)</t>
  </si>
  <si>
    <t xml:space="preserve">444 (15.3) </t>
  </si>
  <si>
    <t xml:space="preserve">469 (17.5) </t>
  </si>
  <si>
    <t xml:space="preserve">54(18.7) </t>
  </si>
  <si>
    <t>1 (8.3)</t>
  </si>
  <si>
    <t xml:space="preserve">33 (1.1) </t>
  </si>
  <si>
    <t xml:space="preserve">91 (3.4) </t>
  </si>
  <si>
    <t xml:space="preserve">3 (1.0) </t>
  </si>
  <si>
    <t xml:space="preserve">New/worsened muscle pain Any </t>
  </si>
  <si>
    <t xml:space="preserve">664 (22.9) </t>
  </si>
  <si>
    <t xml:space="preserve">1055 (39.3) </t>
  </si>
  <si>
    <t xml:space="preserve">113 (39.1) </t>
  </si>
  <si>
    <t xml:space="preserve">353 (12.2) </t>
  </si>
  <si>
    <t xml:space="preserve">441 (16.4) </t>
  </si>
  <si>
    <t xml:space="preserve">52 (18.0) </t>
  </si>
  <si>
    <t xml:space="preserve">296 (10.2) </t>
  </si>
  <si>
    <t xml:space="preserve">552 (20.6) </t>
  </si>
  <si>
    <t xml:space="preserve">57 (19.7) </t>
  </si>
  <si>
    <t xml:space="preserve">15 (0.5) </t>
  </si>
  <si>
    <t xml:space="preserve">62 (2.3) </t>
  </si>
  <si>
    <t xml:space="preserve">4 (1.4) </t>
  </si>
  <si>
    <t xml:space="preserve">Chills </t>
  </si>
  <si>
    <t xml:space="preserve">479 (16.5) </t>
  </si>
  <si>
    <t xml:space="preserve">1015 (37.8) </t>
  </si>
  <si>
    <t xml:space="preserve">84 (29.1) </t>
  </si>
  <si>
    <t xml:space="preserve">338 (11.7) </t>
  </si>
  <si>
    <t xml:space="preserve">477 (17.8) </t>
  </si>
  <si>
    <t xml:space="preserve">37 (12.8) </t>
  </si>
  <si>
    <t xml:space="preserve">126 (4.3) </t>
  </si>
  <si>
    <t xml:space="preserve">44 (15.2) </t>
  </si>
  <si>
    <t xml:space="preserve">69 (2.6) </t>
  </si>
  <si>
    <t xml:space="preserve">New/worsened joint pain </t>
  </si>
  <si>
    <t xml:space="preserve">342 (11.8) </t>
  </si>
  <si>
    <t xml:space="preserve">638 (23.8) </t>
  </si>
  <si>
    <t xml:space="preserve">73 (25.3) </t>
  </si>
  <si>
    <t xml:space="preserve">200 (6.9) </t>
  </si>
  <si>
    <t xml:space="preserve">291 (10.9) </t>
  </si>
  <si>
    <t xml:space="preserve">36 (12.5) </t>
  </si>
  <si>
    <t xml:space="preserve">137 (4.7) </t>
  </si>
  <si>
    <t xml:space="preserve">320 (11.9) </t>
  </si>
  <si>
    <t xml:space="preserve">5 (0.2) </t>
  </si>
  <si>
    <t xml:space="preserve">27 (1.0) </t>
  </si>
  <si>
    <t xml:space="preserve">Diarrhea </t>
  </si>
  <si>
    <t xml:space="preserve">309 (10.7) </t>
  </si>
  <si>
    <t xml:space="preserve">269 (10.0) </t>
  </si>
  <si>
    <t xml:space="preserve">25 (8.7) </t>
  </si>
  <si>
    <t xml:space="preserve">Mildb </t>
  </si>
  <si>
    <t xml:space="preserve">251 (8.7) </t>
  </si>
  <si>
    <t xml:space="preserve">219 (8.2) </t>
  </si>
  <si>
    <t xml:space="preserve">21 (7.3) </t>
  </si>
  <si>
    <t xml:space="preserve">Moderate  </t>
  </si>
  <si>
    <t xml:space="preserve">55 (1.9) </t>
  </si>
  <si>
    <t xml:space="preserve">44 (1.6) </t>
  </si>
  <si>
    <t xml:space="preserve">Severe  </t>
  </si>
  <si>
    <t xml:space="preserve">3 (0.1) </t>
  </si>
  <si>
    <t xml:space="preserve">Vomiting </t>
  </si>
  <si>
    <t xml:space="preserve">34 (1.2) </t>
  </si>
  <si>
    <t xml:space="preserve">58 (2.2) </t>
  </si>
  <si>
    <t xml:space="preserve">5 (1.7) </t>
  </si>
  <si>
    <t xml:space="preserve">Mildc </t>
  </si>
  <si>
    <t xml:space="preserve">29 (1.0) </t>
  </si>
  <si>
    <t xml:space="preserve">42 (1.6) </t>
  </si>
  <si>
    <t xml:space="preserve">12 (0.4) </t>
  </si>
  <si>
    <t xml:space="preserve">4 (0.1) </t>
  </si>
  <si>
    <t xml:space="preserve">Fever </t>
  </si>
  <si>
    <t xml:space="preserve">≥38.0°C </t>
  </si>
  <si>
    <t xml:space="preserve">119 (4.1) </t>
  </si>
  <si>
    <t xml:space="preserve">440 (16.4) </t>
  </si>
  <si>
    <t xml:space="preserve">≥38.0 to 38.4°C </t>
  </si>
  <si>
    <t xml:space="preserve">86 (3.0) </t>
  </si>
  <si>
    <t xml:space="preserve">254 (9.5) </t>
  </si>
  <si>
    <t xml:space="preserve">12 (4.2) </t>
  </si>
  <si>
    <t xml:space="preserve">&gt;38.4 to 38.9°C </t>
  </si>
  <si>
    <t xml:space="preserve">25 (0.9) </t>
  </si>
  <si>
    <t xml:space="preserve">146 (5.4) </t>
  </si>
  <si>
    <t xml:space="preserve">&gt;38.9 to 40.0°C </t>
  </si>
  <si>
    <t xml:space="preserve">8 (0.3) </t>
  </si>
  <si>
    <t xml:space="preserve">&gt;40.0°C </t>
  </si>
  <si>
    <t xml:space="preserve">1 (0.0) </t>
  </si>
  <si>
    <t xml:space="preserve">Antipyretic or pain medication used </t>
  </si>
  <si>
    <t xml:space="preserve">805 (27.8) </t>
  </si>
  <si>
    <t xml:space="preserve">1213 (45.2) </t>
  </si>
  <si>
    <t xml:space="preserve">135 (46.7) </t>
  </si>
  <si>
    <t>4(33.3)</t>
  </si>
  <si>
    <t xml:space="preserve">Dose 2 16-55 Years Blinded Phase 2/3 N=2682a n (%) </t>
  </si>
  <si>
    <t xml:space="preserve">Dose 1 16-55 Years Blinded Phase 2/3 N=2899a n (%) </t>
  </si>
  <si>
    <t xml:space="preserve">Booster 18-55 Years Phase 2/3 N=289b n (%) </t>
  </si>
  <si>
    <t>Booster 65-85 Years Phase 1 N=12c n (%)</t>
  </si>
  <si>
    <t xml:space="preserve">Table 8. Frequency of Solicited Systemic Reactions, by Severity, Within 7 Days After Dose 2 Compared to After Booster Dose of BNT162b2 30 µg Among Participants in Phase 1/2/3 Study </t>
  </si>
  <si>
    <t>Solicited Systemic Reactions</t>
  </si>
  <si>
    <t>Solicited Local Reactions</t>
  </si>
  <si>
    <t>Data pulled 10/06/2021</t>
  </si>
  <si>
    <t>Building / Occupancy Volume Ratios</t>
  </si>
  <si>
    <t>Small Indoor Space</t>
  </si>
  <si>
    <t>Large Indoor Space</t>
  </si>
  <si>
    <t>Boardwalk Hall</t>
  </si>
  <si>
    <t>Length</t>
  </si>
  <si>
    <t>Volume</t>
  </si>
  <si>
    <t>Height Reduction</t>
  </si>
  <si>
    <t>Reduced Volume</t>
  </si>
  <si>
    <t>Volume Ratio</t>
  </si>
  <si>
    <t>Equivalent Mitigation ACH</t>
  </si>
  <si>
    <t>System avl</t>
  </si>
  <si>
    <t xml:space="preserve">Airline Ventilation and Masks </t>
  </si>
  <si>
    <t>Pv (ventilation)</t>
  </si>
  <si>
    <t>Pvd (ventilation &amp; distance</t>
  </si>
  <si>
    <t>Airline analysis probability of infection</t>
  </si>
  <si>
    <t>Pvdi  (ventilation &amp; distance &amp; 1 in 10 planes with infected passenger)</t>
  </si>
  <si>
    <t>distance from infected seat (feet)</t>
  </si>
  <si>
    <t>passengers before 1 infection happens</t>
  </si>
  <si>
    <t>with masks distant seat</t>
  </si>
  <si>
    <t>without masks distant seat</t>
  </si>
  <si>
    <t>with masks adjacent seat</t>
  </si>
  <si>
    <t>without masks adjacent seat</t>
  </si>
  <si>
    <t>upgraded to CDC guideline</t>
  </si>
  <si>
    <t>upgraded to WHO guideline</t>
  </si>
  <si>
    <t>Deaths @ 3.5% (Ventilation)</t>
  </si>
  <si>
    <t>Ventilation Effectiveness via AUC *</t>
  </si>
  <si>
    <t>% of infrastructure</t>
  </si>
  <si>
    <t>Total Lives</t>
  </si>
  <si>
    <t>Check</t>
  </si>
  <si>
    <t>Lives Saved Via Ventilation</t>
  </si>
  <si>
    <t>Deaths @ 2%</t>
  </si>
  <si>
    <t>Deaths @ 3%</t>
  </si>
  <si>
    <t>Deaths @ 3.5%</t>
  </si>
  <si>
    <t>No Vaccine upgraded infrastructure</t>
  </si>
  <si>
    <t>Vaccine + upgraded infrastructure</t>
  </si>
  <si>
    <t>Vaccine + Current ventilation infrastructure</t>
  </si>
  <si>
    <t>No Vaccine + Current Ventilation Infrastructure</t>
  </si>
  <si>
    <t>Hospital Virus Transmission</t>
  </si>
  <si>
    <t>ICU patient environments</t>
  </si>
  <si>
    <t>Non-ICU patient environments</t>
  </si>
  <si>
    <t>outlet</t>
  </si>
  <si>
    <t>(0.916-2)</t>
  </si>
  <si>
    <t>IRs 12 Air changes/h,</t>
  </si>
  <si>
    <t>shelter</t>
  </si>
  <si>
    <t>https://jamanetwork.com/journals/jamanetworkopen/articlepdf/2774463/birgand_2020_oi_201016_1611171807.62761.pdf</t>
  </si>
  <si>
    <t>https://jamanetwork.com/journals/jamanetworkopen/fullarticle/2774463</t>
  </si>
  <si>
    <t xml:space="preserve">Operational Settings Testing </t>
  </si>
  <si>
    <t>Setting</t>
  </si>
  <si>
    <t>Clinical context</t>
  </si>
  <si>
    <t xml:space="preserve">Location </t>
  </si>
  <si>
    <t>air ventilation</t>
  </si>
  <si>
    <t>Distance from patients, m</t>
  </si>
  <si>
    <t xml:space="preserve">Duration (air volume per sample, L) </t>
  </si>
  <si>
    <t>SARS-CoV-2 Viral load, RNA copies/m3</t>
  </si>
  <si>
    <t>Viral culture, No./total No. (%)</t>
  </si>
  <si>
    <t>Positivity, No./total No. (%)</t>
  </si>
  <si>
    <t>Severe</t>
  </si>
  <si>
    <t>IR</t>
  </si>
  <si>
    <t>Negative pressure</t>
  </si>
  <si>
    <t>ND</t>
  </si>
  <si>
    <t>5 h-7 d (1500-50 400 )</t>
  </si>
  <si>
    <t xml:space="preserve">ddPCR </t>
  </si>
  <si>
    <t>31 113</t>
  </si>
  <si>
    <t>2/3 (66)</t>
  </si>
  <si>
    <t>Multiple-bed room</t>
  </si>
  <si>
    <t xml:space="preserve">Mechanical or Natural </t>
  </si>
  <si>
    <t>60 min (90)</t>
  </si>
  <si>
    <t xml:space="preserve">RT-PCR; Ct, 38 </t>
  </si>
  <si>
    <t>0/9</t>
  </si>
  <si>
    <t xml:space="preserve">IRs, bay room </t>
  </si>
  <si>
    <t>12 Air supplies; 16 air discharges/h</t>
  </si>
  <si>
    <t>30 min (300)</t>
  </si>
  <si>
    <t>RT-qPCR</t>
  </si>
  <si>
    <t>Mean: 3.8 near air outlet; 1.4 near patients</t>
  </si>
  <si>
    <t>13/32 (41); Ct, 35.7 and 44.4</t>
  </si>
  <si>
    <t xml:space="preserve">ICU </t>
  </si>
  <si>
    <t>4 h (1260)</t>
  </si>
  <si>
    <t>0/1; Ct, 41.5</t>
  </si>
  <si>
    <t>Multiple-bed room; 3 beds</t>
  </si>
  <si>
    <t xml:space="preserve">5 h (21 600) </t>
  </si>
  <si>
    <t>RT-PCR; Ct, &lt;37 and &gt;40</t>
  </si>
  <si>
    <t xml:space="preserve"> Natural ventilation</t>
  </si>
  <si>
    <t>40 min (600-16000)</t>
  </si>
  <si>
    <t>RT-qPCR; Ct, 39.5</t>
  </si>
  <si>
    <t>NP</t>
  </si>
  <si>
    <t>0/5</t>
  </si>
  <si>
    <t>2 Patients intubated, 1 patient not intubated</t>
  </si>
  <si>
    <t>40 min (2000)</t>
  </si>
  <si>
    <t xml:space="preserve">RT-PCR </t>
  </si>
  <si>
    <t>Mean, 22.7</t>
  </si>
  <si>
    <t>12/12 (100)</t>
  </si>
  <si>
    <t xml:space="preserve">Mild </t>
  </si>
  <si>
    <t>IRs</t>
  </si>
  <si>
    <t xml:space="preserve">Negative pressure </t>
  </si>
  <si>
    <t>20-30 min (300-10000)</t>
  </si>
  <si>
    <t>RT-PCR</t>
  </si>
  <si>
    <t>0/26</t>
  </si>
  <si>
    <t>3 Patients intubated</t>
  </si>
  <si>
    <t>20 min (250)</t>
  </si>
  <si>
    <t>rRT-PCR; Ct, &lt;35; viral culture</t>
  </si>
  <si>
    <t xml:space="preserve">NP </t>
  </si>
  <si>
    <t>0/3</t>
  </si>
  <si>
    <t>6 Critical</t>
  </si>
  <si>
    <t>Multiple beds;10 patients</t>
  </si>
  <si>
    <t xml:space="preserve">Natural </t>
  </si>
  <si>
    <t>180 min (2160)</t>
  </si>
  <si>
    <t>RT-PCR; Ct, &lt;40</t>
  </si>
  <si>
    <t>0/6</t>
  </si>
  <si>
    <t>1 Critical</t>
  </si>
  <si>
    <t>15 min (6000)</t>
  </si>
  <si>
    <t>qRT-PCR; Ct, &lt;40</t>
  </si>
  <si>
    <t>1/1 (100)</t>
  </si>
  <si>
    <t>9 Severe or critical</t>
  </si>
  <si>
    <t xml:space="preserve">Single room </t>
  </si>
  <si>
    <t>Natural ventilation</t>
  </si>
  <si>
    <t>60 min (300)</t>
  </si>
  <si>
    <t>1/10 (10)</t>
  </si>
  <si>
    <t xml:space="preserve">GW </t>
  </si>
  <si>
    <t>4 Single and 1 multiple-bed room; 2 beds</t>
  </si>
  <si>
    <t xml:space="preserve">5 h (1500) </t>
  </si>
  <si>
    <t>ddPCR</t>
  </si>
  <si>
    <t>0/2</t>
  </si>
  <si>
    <t>Multiple-bed room; 2-9 beds</t>
  </si>
  <si>
    <t>RT-PCR; Ct, 38</t>
  </si>
  <si>
    <t>0/1</t>
  </si>
  <si>
    <t>GW</t>
  </si>
  <si>
    <t xml:space="preserve">Moderate or mild </t>
  </si>
  <si>
    <t>12 Air exchanges/h</t>
  </si>
  <si>
    <t xml:space="preserve">&lt;1 and 2-5 </t>
  </si>
  <si>
    <t>4 h (3600)</t>
  </si>
  <si>
    <t>RT-PCR; Ct, 45</t>
  </si>
  <si>
    <t>0/18</t>
  </si>
  <si>
    <t>IW</t>
  </si>
  <si>
    <t>Bedside table or desk</t>
  </si>
  <si>
    <t>15 min (750)</t>
  </si>
  <si>
    <t>RT-PCR; Ct, 45; viral culture</t>
  </si>
  <si>
    <t xml:space="preserve">0/10 </t>
  </si>
  <si>
    <t>Single bay room</t>
  </si>
  <si>
    <t>8 Air supplies and 12 air discharges/h</t>
  </si>
  <si>
    <t>Near patients, near air outlet</t>
  </si>
  <si>
    <t>RT-qPCR 0.68 near air</t>
  </si>
  <si>
    <t>2/16 (12.5)</t>
  </si>
  <si>
    <t>Mild or asymptomatic</t>
  </si>
  <si>
    <t xml:space="preserve">12 Air changes/h </t>
  </si>
  <si>
    <t xml:space="preserve">1 and 2.1 </t>
  </si>
  <si>
    <t>4 h (840)</t>
  </si>
  <si>
    <t>RT-PCR Mean (range), 1.3</t>
  </si>
  <si>
    <t>4/10 (40)</t>
  </si>
  <si>
    <t>1/1 (100); Ct,44.6</t>
  </si>
  <si>
    <t>Severe, mild, asymptomatic</t>
  </si>
  <si>
    <t>20 min (1000)</t>
  </si>
  <si>
    <t>5 min (1000)</t>
  </si>
  <si>
    <t>0/8</t>
  </si>
  <si>
    <t>IW and GW</t>
  </si>
  <si>
    <t>ND (1000)</t>
  </si>
  <si>
    <t>RT-qPCR; Ct, &lt;40.4; viral culture</t>
  </si>
  <si>
    <t>mean (range), 1.17 (0.16-7.04)</t>
  </si>
  <si>
    <t>0/12</t>
  </si>
  <si>
    <t>6/12 (50)</t>
  </si>
  <si>
    <t>8 Air supplies; 12 air discharges/h</t>
  </si>
  <si>
    <t>5 h (21 600)</t>
  </si>
  <si>
    <t xml:space="preserve">12 Air exchanges/h </t>
  </si>
  <si>
    <t>15 min (1500)</t>
  </si>
  <si>
    <t>RT-PCR; Ct, &lt;35</t>
  </si>
  <si>
    <t xml:space="preserve">IRs </t>
  </si>
  <si>
    <t>40 min (600-16 000)</t>
  </si>
  <si>
    <t>RT-PCR; Ct, &lt;39.5</t>
  </si>
  <si>
    <t>0/16</t>
  </si>
  <si>
    <t>30 min (ND)</t>
  </si>
  <si>
    <t xml:space="preserve">RT-qPCR; viral culture </t>
  </si>
  <si>
    <t>2.41 TCID50/cm3 of air</t>
  </si>
  <si>
    <t xml:space="preserve">3/18 (17) </t>
  </si>
  <si>
    <t>18/18 (100)</t>
  </si>
  <si>
    <t xml:space="preserve">IW and GW </t>
  </si>
  <si>
    <t>7 Mild and 1 asymptomatic</t>
  </si>
  <si>
    <t>IRs; 5-bed room</t>
  </si>
  <si>
    <t>IR with 15 air changes/h; IR without negative pressure; room without negative air pressure</t>
  </si>
  <si>
    <t>rRT-PCR; Ct, &lt;35</t>
  </si>
  <si>
    <t>0/32</t>
  </si>
  <si>
    <t xml:space="preserve">IW </t>
  </si>
  <si>
    <t xml:space="preserve">15 Mild </t>
  </si>
  <si>
    <t xml:space="preserve">3 Patients per room </t>
  </si>
  <si>
    <t xml:space="preserve">Natural ventilation </t>
  </si>
  <si>
    <t>1/2 (50)</t>
  </si>
  <si>
    <t>4 Asymptomatic; 16 mild</t>
  </si>
  <si>
    <t xml:space="preserve">Single rooms </t>
  </si>
  <si>
    <t xml:space="preserve">14 Air exchange/h </t>
  </si>
  <si>
    <t>1, 1.4, 2.2, and 3.2</t>
  </si>
  <si>
    <t>240 min (840)</t>
  </si>
  <si>
    <t>RT-PCR; viral culture</t>
  </si>
  <si>
    <t xml:space="preserve">0/3 </t>
  </si>
  <si>
    <t>3/160 (1.9)</t>
  </si>
  <si>
    <t>Laboratory, radiology, internal medicine, emergency</t>
  </si>
  <si>
    <t>5 Mild and 1 suspected case</t>
  </si>
  <si>
    <t>Multiple rooms, 18-30 patients</t>
  </si>
  <si>
    <t>Natural</t>
  </si>
  <si>
    <t>2 Patients with mild disease</t>
  </si>
  <si>
    <t>6 Air changes/h</t>
  </si>
  <si>
    <t>2-4.8</t>
  </si>
  <si>
    <t>180 min (ND)</t>
  </si>
  <si>
    <t>RT-PCR;viral culture</t>
  </si>
  <si>
    <t>Mean (range), 46 (16-94); 2-74TCID50 U/L of air</t>
  </si>
  <si>
    <t xml:space="preserve">4/4 (100) </t>
  </si>
  <si>
    <t>4/4 (100)</t>
  </si>
  <si>
    <t>Toilet or bathroom</t>
  </si>
  <si>
    <t>Non-ICU</t>
  </si>
  <si>
    <t>Patient mobile toilet room</t>
  </si>
  <si>
    <t>No ventilation</t>
  </si>
  <si>
    <t>20 h (6000)</t>
  </si>
  <si>
    <t>8 h (2400)</t>
  </si>
  <si>
    <t>Patient bathroom</t>
  </si>
  <si>
    <t>4 h (1680)</t>
  </si>
  <si>
    <t>2/2 (100); Ct, 35.6, 35.5</t>
  </si>
  <si>
    <t>Cohort ward</t>
  </si>
  <si>
    <t>Outside patient bay, in the ward</t>
  </si>
  <si>
    <t>ND(1000)</t>
  </si>
  <si>
    <t>Fever clinic</t>
  </si>
  <si>
    <t xml:space="preserve">In the ward </t>
  </si>
  <si>
    <t>40 (16 000)</t>
  </si>
  <si>
    <t>4 ICU</t>
  </si>
  <si>
    <t xml:space="preserve">Patient bathroom </t>
  </si>
  <si>
    <t>4 With negative pressure</t>
  </si>
  <si>
    <t>20-30 min (420-10000)</t>
  </si>
  <si>
    <t>1/7 (14)</t>
  </si>
  <si>
    <t>Clinical areas</t>
  </si>
  <si>
    <t xml:space="preserve">Workstation </t>
  </si>
  <si>
    <t>320-1200 min (1600-6000)</t>
  </si>
  <si>
    <t>0, 1, 1, 5, 9</t>
  </si>
  <si>
    <t>4/5 (80)</t>
  </si>
  <si>
    <t>ICU and non-ICU</t>
  </si>
  <si>
    <t>Corridor, anteroom</t>
  </si>
  <si>
    <t>15 min (3000); 480 min (2400)</t>
  </si>
  <si>
    <t>Floor adjacent to rooms</t>
  </si>
  <si>
    <t>&gt;6 ft</t>
  </si>
  <si>
    <t>2.58, 3.76</t>
  </si>
  <si>
    <t xml:space="preserve">ICU, GW </t>
  </si>
  <si>
    <t>1Severe, ND</t>
  </si>
  <si>
    <t>Near office, pharmacy, nurse station, corridor, and buffer room</t>
  </si>
  <si>
    <t>(27 000-72 000)</t>
  </si>
  <si>
    <t>RT-qPCR 0.54</t>
  </si>
  <si>
    <t>1/34 (3)</t>
  </si>
  <si>
    <t xml:space="preserve">1 ICU </t>
  </si>
  <si>
    <t>Ward and various clinical rooms</t>
  </si>
  <si>
    <t>RT-PCR; Ct, 43</t>
  </si>
  <si>
    <t>0/69</t>
  </si>
  <si>
    <t>Nurse station, ward, ambulatory waiting room, Resus bay, CPAP unit</t>
  </si>
  <si>
    <t>Corridor, clinic, buffer room</t>
  </si>
  <si>
    <t>1 With negative pressure</t>
  </si>
  <si>
    <t>250 min (21 600)</t>
  </si>
  <si>
    <t>0/45</t>
  </si>
  <si>
    <t xml:space="preserve">Corridor and preroom </t>
  </si>
  <si>
    <t>40 min (16 000)</t>
  </si>
  <si>
    <t>Corridor</t>
  </si>
  <si>
    <t>8/8 (100); Ct, 31.1</t>
  </si>
  <si>
    <t xml:space="preserve">3Mild, ND for others </t>
  </si>
  <si>
    <t>Ward, corridor, nurse station, and storage room</t>
  </si>
  <si>
    <t>3 Negative pressure, ND for others</t>
  </si>
  <si>
    <t>20-30 (300-10 000)</t>
  </si>
  <si>
    <t>1/12 (8); Ct, 37.8</t>
  </si>
  <si>
    <t>5 Anterooms, regardless of room type</t>
  </si>
  <si>
    <t>0/20</t>
  </si>
  <si>
    <t>ICU entrance</t>
  </si>
  <si>
    <t>Staff areas</t>
  </si>
  <si>
    <t>Changing, meeting, and dining rooms, warehouse</t>
  </si>
  <si>
    <t>Natural and/or mechanical; small air purifier</t>
  </si>
  <si>
    <t>300-1200 min</t>
  </si>
  <si>
    <t>(1500-6000)</t>
  </si>
  <si>
    <t>ddPCR Mean, 13.8</t>
  </si>
  <si>
    <t>10/13 (77)</t>
  </si>
  <si>
    <t>Personal air sample</t>
  </si>
  <si>
    <t xml:space="preserve">RT-PCR; Ct, 45 </t>
  </si>
  <si>
    <t>Mean, 20.037</t>
  </si>
  <si>
    <t>ICU and GW</t>
  </si>
  <si>
    <t>Dressing rooms</t>
  </si>
  <si>
    <t>30 min(45 000-108 000)</t>
  </si>
  <si>
    <t>0/36</t>
  </si>
  <si>
    <t>Staff and changing rooms</t>
  </si>
  <si>
    <t>0/4</t>
  </si>
  <si>
    <t>1/4 (25)</t>
  </si>
  <si>
    <t>ICU and IW</t>
  </si>
  <si>
    <t>Conference room and clean zone</t>
  </si>
  <si>
    <t>2/3 With negative pressure</t>
  </si>
  <si>
    <t>270-540 min (21 600-43 200)</t>
  </si>
  <si>
    <t xml:space="preserve">Waste storage </t>
  </si>
  <si>
    <t>Changing and locker rooms</t>
  </si>
  <si>
    <t>40 min(8000-14 000)</t>
  </si>
  <si>
    <t>0/17</t>
  </si>
  <si>
    <t>Changing room</t>
  </si>
  <si>
    <t>Middle</t>
  </si>
  <si>
    <t>Public areas</t>
  </si>
  <si>
    <t>Pharmacy, hall, office, store, and supermarket</t>
  </si>
  <si>
    <t>Mechanical, Natural, outdoor</t>
  </si>
  <si>
    <t>300-1000 min (1500-5000)</t>
  </si>
  <si>
    <t>3, 7, 11, 3</t>
  </si>
  <si>
    <t>4/11 (36)</t>
  </si>
  <si>
    <t>ND(ND)</t>
  </si>
  <si>
    <t>0.979-8.688</t>
  </si>
  <si>
    <t>8/12 (67)</t>
  </si>
  <si>
    <t>Public area</t>
  </si>
  <si>
    <t>Main entrance, toilet entrance, and lift area</t>
  </si>
  <si>
    <t>1.574, 1.545</t>
  </si>
  <si>
    <t>2/3 (67)</t>
  </si>
  <si>
    <t>270 min (21600)</t>
  </si>
  <si>
    <t>Hospital entrance</t>
  </si>
  <si>
    <t xml:space="preserve">≥2 </t>
  </si>
  <si>
    <t>≥2</t>
  </si>
  <si>
    <t xml:space="preserve">2-5 </t>
  </si>
  <si>
    <t>1</t>
  </si>
  <si>
    <t>1-5</t>
  </si>
  <si>
    <t xml:space="preserve">0.5 </t>
  </si>
  <si>
    <t>0.5</t>
  </si>
  <si>
    <t xml:space="preserve">1 </t>
  </si>
  <si>
    <t>0.1</t>
  </si>
  <si>
    <t xml:space="preserve">0.6 </t>
  </si>
  <si>
    <t>2</t>
  </si>
  <si>
    <t>Negative pressure and 12 air changes/h</t>
  </si>
  <si>
    <t>positivity</t>
  </si>
  <si>
    <t>total</t>
  </si>
  <si>
    <t>0.404, 0.035, 1.922, 0.031</t>
  </si>
  <si>
    <t>0/10</t>
  </si>
  <si>
    <t>Abbreviations: CPAP, continuous positive airway pressure; Ct, cycle threshold; ddPCR, droplet-digital polymerase chain reaction; GW, general ward; ICU, intensive care unit; IR, isolation room; IW, isolation ward; NA, not applicable; ND not detailed; NP, not performed; RT-PCR, reverse transcription–polymerase chain reaction; RT-qPCR, quantitative reverse transcription–polymerase chain reaction; SARS-CoV-2, severe acute respiratory syndrome coronavirus 2.</t>
  </si>
  <si>
    <t>REFERENCES</t>
  </si>
  <si>
    <t xml:space="preserve">1. World Health Organisation. Transmission of SARS-CoV-2: implications for infection prevention precautions. Published online July 9, 2020. Accessed November 23, 2020. https://www.who.int/news-room/commentaries/ detail/transmission-of-sars-cov-2-implications-for-infection-prevention-precautions </t>
  </si>
  <si>
    <t xml:space="preserve">2. Birgand G, Mutters NT, Otter JA, et al. Analysis of national and international guidelines on respiratory protection equipment for COVID-19 in healthcare settings.medRxiv. Preprint published online April 29, 2020. doi:10.1101/2020. 04.23.20077230 </t>
  </si>
  <si>
    <t xml:space="preserve">3. Ong SWX, Tan YK, Chia PY, et al. Air, surface environmental, and personal protective equipment contamination by severe acute respiratory syndrome coronavirus 2 (SARS-CoV-2) from a symptomatic patient. JAMA. 2020;323 (16):1610-1612. doi:10.1001/jama.2020.3227 </t>
  </si>
  <si>
    <t xml:space="preserve">4. Bourouiba L. Turbulent gas clouds and respiratory pathogen emissions: potential implications for reducing transmission of COVID-19. JAMA. 2020;323(18):1837-1838. doi:10.1001/jama.2020.4756 </t>
  </si>
  <si>
    <t xml:space="preserve">5. Seto WH. Airborne transmission and precautions: facts andmyths. J Hosp Infect. 2015;89(4):225-228. doi:10. 1016/j.jhin.2014.11.005 </t>
  </si>
  <si>
    <t xml:space="preserve">6. Morawska L, Tang JW, BahnflethW, et al. How can airborne transmission of COVID-19 indoors be minimised? Environ Int. 2020;142:105832. doi:10.1016/j.envint.2020.105832 </t>
  </si>
  <si>
    <t xml:space="preserve">7. Chagla Z, Hota S, Khan S, Mertz D; International Hospital and Community Epidemiology Group. Airborne transmission of COVID-19. Clin Infect Dis. 2020;ciaa1118. doi:10.1093/cid/ciaa1118 </t>
  </si>
  <si>
    <t xml:space="preserve">8. Faridi S, Niazi S, Sadeghi K, et al. A field indoor air measurement of SARS-CoV-2 in the patient rooms of the largest hospital in Iran. Sci Total Environ. 2020;725:138401. doi:10.1016/j.scitotenv.2020.138401 </t>
  </si>
  <si>
    <t xml:space="preserve">9. Liu Y, Ning Z, Chen Y, et al. Aerodynamic analysis of SARS-CoV-2 in twoWuhan hospitals. Nature. 2020;582 (7813):557-560. doi:10.1038/s41586-020-2271-3 </t>
  </si>
  <si>
    <t xml:space="preserve">10. Li YH, Fan YZ, Jiang L,Wang HB. Aerosol and environmental surface monitoring for SARS-CoV-2 RNA in a designated hospital for severe COVID-19 patients. Epidemiol Infect. 2020;148:e154. doi:10.1017/ S0950268820001570 </t>
  </si>
  <si>
    <t xml:space="preserve">11. Guo Z-D,Wang Z-Y, Zhang S-F, et al. Aerosol and surface distribution of severe acute respiratory syndrome coronavirus 2 in hospital wards,Wuhan, China, 2020. Emerg Infect Dis. 2020;26(7):1583-1591. doi:10.3201/ eid2607.200885 </t>
  </si>
  <si>
    <t xml:space="preserve">12. Santarpia JL, Rivera DN, Herrera V, et al. Aerosol and surface transmission potential of SARS-CoV-2. medRxiv. Preprint published online June 3, 2020. doi:10.1101/2020.03.23.20039446 </t>
  </si>
  <si>
    <t xml:space="preserve">13. Santarpia JL, Herrera VL, Rivera DN, et al. The infectious nature of patient-generated SARS-CoV-2 aerosol. medRxiv. Preprint published online July 21, 2020. doi:10.1101/2020.07.13.20041632 </t>
  </si>
  <si>
    <t xml:space="preserve">14. Cheng VC-C,Wong S-C, Chan VW-M, et al. Air and environmental sampling for SARS-CoV-2 around hospitalized patients with coronavirus disease 2019 (COVID-19). Infect Control Hosp Epidemiol. 2020;41(11):1258-1265. doi:10. 1017/ice.2020.282 </t>
  </si>
  <si>
    <t xml:space="preserve">15. Wei L, Lin J, Duan X, et al. Asymptomatic COVID-19 patients can contaminate their surroundings: an environment sampling study. mSphere. 2020;5(3):e00442-20. doi:10.1128/mSphere.00442-20 </t>
  </si>
  <si>
    <t xml:space="preserve">16. Chia PY, Coleman KK, Tan YK, et al. Detection of air and surface contamination by SARS-CoV-2 in hospital rooms of infected patients. Nature Communications. 2020;11:2800. doi:10.1038/s41467-020-16670-2 </t>
  </si>
  <si>
    <t xml:space="preserve">17. Zhou J, Otter JA, Price JR, et al. Investigating SARS-CoV-2 surface and air contamination in an acute healthcare setting during the peak of the COVID-19 pandemic in London. Clin Infect Dis. 2020;ciaa905. doi:10.1093/cid/ ciaa905 </t>
  </si>
  <si>
    <t xml:space="preserve">18. Ding Z, Qian H, Xu B, et al. Toilets dominate environmental detection of SARS-CoV-2 virus in a hospital. medRxiv. Preprint published online April 7, 2020. doi:10.1101/2020.04.03.20052175 </t>
  </si>
  <si>
    <t xml:space="preserve">19. Zhou L, YaoM, Zhang X, et al. Detection of SARS-CoV-2 in exhaled breath from COVID-19 patients ready for hospital discharge. medRxiv. Preprint published online June 2, 2020. doi:10.1101/2020.05.31.20115196 </t>
  </si>
  <si>
    <t xml:space="preserve">20. Wu S,Wang Y, Jin X, Tian J, Liu J, Mao Y. Environmental contamination by SARS-CoV-2 in a designated hospital for coronavirus disease 2019. Am J Infect Control. 2020;48(8):910-914. doi:10.1016/j.ajic.2020.05.003 </t>
  </si>
  <si>
    <t xml:space="preserve">21. Cheng VCC,Wong S-C, Chen JHK, et al. Escalating infection control response to the rapidly evolving epidemiology of the coronavirus disease 2019 (COVID-19) due to SARS-CoV-2 in Hong Kong. Infect Control Hosp Epidemiol. 2020;41(5):493-498. doi:10.1017/ice.2020.58 </t>
  </si>
  <si>
    <t xml:space="preserve">22. Lei H, Ye F, Liu X, et al. SARS-CoV-2 environmental contamination associated with persistently infected COVID-19 patients. Influenza Other Respir Viruses. 2020;14(6):688-699. doi:10.1111/irv.12783 </t>
  </si>
  <si>
    <t xml:space="preserve">23. Razzini K, Castrica M, Menchetti L, et al. SARS-CoV-2 RNA detection in the air and on surfaces in the COVID-19 ward of a hospital in Milan, Italy. Sci Total Environ. 2020;742:140540. doi:10.1016/j.scitotenv.2020.140540 </t>
  </si>
  <si>
    <t xml:space="preserve">24. Kim UJ, Lee SY, Lee JY, et al. Air and environmental contamination caused by COVID-19 patients: a multi-center study. J Korean Med Sci. 2020;35(37):e332. doi:10.3346/jkms.2020.35.e332 </t>
  </si>
  <si>
    <t xml:space="preserve">25. Tan L, Ma B, Lai X, et al. Air and surface contamination by SARS-CoV-2 virus in a tertiary hospital inWuhan, China. Int J Infect Dis. 2020;99:3-7. doi:10.1016/j.ijid.2020.07.027 </t>
  </si>
  <si>
    <t xml:space="preserve">26. Binder RA, Alarja NA, Robie ER, et al. Environmental and aerosolized severe acute respiratory syndrome coronavirus 2 among hospitalized coronavirus disease 2019 patients. J Infect Dis. 2020;222(11):1798-1806. doi:10. 1093/infdis/jiaa575 </t>
  </si>
  <si>
    <t xml:space="preserve">27. Ahn JY, An S, Sohn Y, et al. Environmental contamination in the isolation rooms of COVID-19 patients with severe pneumonia requiring mechanical ventilation or high-flow oxygen therapy. J Hosp Infect. 2020;106(3): 570-576. doi:10.1016/j.jhin.2020.08.014 </t>
  </si>
  <si>
    <t xml:space="preserve">28. Kenarkoohi A, Noorimotlagh Z, Falahi S, et al. Hospital indoor air quality monitoring for the detection of SARSCoV- 2 (COVID-19) virus. Sci Total Environ. 2020;748:141324. doi:10.1016/j.scitotenv.2020.141324 </t>
  </si>
  <si>
    <t xml:space="preserve">29. Jin T, Li J, Yang J, et al. SARS-CoV-2 presented in the air of an intensive care unit (ICU). Sustain Cities Soc. 2020;102446. doi:10.1016/j.scs.2020.102446 </t>
  </si>
  <si>
    <t xml:space="preserve">30. Lednicky JA, Lauzardo M, Fan ZH, et al. Viable SARS-CoV-2 in the air of a hospital room with COVID-19 patients. Int J Infect Dis. 2020;100:476-482. doi:10.1016/j.ijid.2020.09.025 </t>
  </si>
  <si>
    <t xml:space="preserve">31. Lui RN,Wong SH, Sánchez-Luna SA, et al. Overview of guidance for endoscopy during the coronavirus disease 2019 pandemic. J Gastroenterol Hepatol. 2020;35(5):749-759. doi:10.1111/jgh.15053 </t>
  </si>
  <si>
    <t xml:space="preserve">32. Liu Y, Yan L-M,Wan L, et al. Viral dynamics in mild and severe cases of COVID-19. Lancet Infect Dis. 2020;20 (6):656-657. doi:10.1016/S1473-3099(20)30232-2 </t>
  </si>
  <si>
    <t xml:space="preserve">33. Wölfel R, Corman VM, GuggemosW, et al. Virological assessment of hospitalized patients with COVID-2019. Nature. 2020;581(7809):465-469. doi:10.1038/s41586-020-2196-x </t>
  </si>
  <si>
    <t xml:space="preserve">34. Tang S, Mao Y, Jones RM, et al. Aerosol transmission of SARS-CoV-2? evidence, prevention and control. Environ Int. 2020;144:106039. doi:10.1016/j.envint.2020.106039 </t>
  </si>
  <si>
    <t xml:space="preserve">35. Singanayagam A, Patel M, Charlett A, et al. Duration of infectiousness and correlation with RT-PCR cycle threshold values in cases of COVID-19, England, January toMay 2020. Euro Surveill. 2020;25(32). doi:10.2807/ 1560-7917.ES.2020.25.32.2001483 </t>
  </si>
  <si>
    <t xml:space="preserve">36. Verreault D, Moineau S, Duchaine C. Methods for sampling of airborne viruses. Microbiol Mol Biol Rev. 2008; 72(3):413-444. doi:10.1128/MMBR.00002-08 </t>
  </si>
  <si>
    <t xml:space="preserve">37. WangW, Xu Y, Gao R, et al. Detection of SARS-CoV-2 in different types of clinical specimens. JAMA. 2020;323 (18):1843-1844. doi:10.1001/jama.2020.3786 </t>
  </si>
  <si>
    <t xml:space="preserve">38. Wu Y, Guo C, Tang L, et al. Prolonged presence of SARS-CoV-2 viral RNA in faecal samples. Lancet Gastroenterol Hepatol. 2020;5(5):434-435. doi:10.1016/S2468-1253(20)30083-2 </t>
  </si>
  <si>
    <t xml:space="preserve">39. Roy CJ, Milton DK. Airborne transmission of communicable infection—the elusive pathway. N Engl J Med. 2004;350(17):1710-1712. doi:10.1056/NEJMp048051 </t>
  </si>
  <si>
    <t xml:space="preserve">40. Booth TF, Kournikakis B, Bastien N, et al. Detection of airborne severe acute respiratory syndrome (SARS) coronavirus and environmental contamination in SARS outbreak units. J Infect Dis. 2005;191(9):1472-1477. doi:10. 1086/429634 </t>
  </si>
  <si>
    <t xml:space="preserve">41. Shiu EYC, Leung NHL, Cowling BJ. Controversy around airborne versus droplet transmission of respiratory viruses: implication for infection prevention. Curr Opin Infect Dis. 2019;32(4):372-379. doi:10.1097/QCO. 0000000000000563 </t>
  </si>
  <si>
    <t xml:space="preserve">42. Temkin E; HealthcareWorker COVID-19 SurveillanceWorking Group. Extremely low prevalence of asymptomatic COVID-19 among healthcare workers caring for COVID-19 patients in Israeli hospitals: a crosssectional study. Clin Microbiol Infect. 2020;S1198-743X(20)30593-0. doi:10.1016/j.cmi.2020.09.040 </t>
  </si>
  <si>
    <t>43. Seto WH, Tsang D, Yung RWH, et al; Advisors of Expert SARS group of Hospital Authority. Effectiveness of precautions against droplets and contact in prevention of nosocomial transmission of severe acute respiratory syndrome (SARS). Lancet. 2003;361(9368):1519-1520. doi:10.1016/S0140-6736(03)1</t>
  </si>
  <si>
    <t xml:space="preserve">Liu et al </t>
  </si>
  <si>
    <t xml:space="preserve">Faridi et al </t>
  </si>
  <si>
    <t xml:space="preserve">Guo et al </t>
  </si>
  <si>
    <t xml:space="preserve">Lei et al </t>
  </si>
  <si>
    <t xml:space="preserve">Li et al </t>
  </si>
  <si>
    <t xml:space="preserve">Zhou et al </t>
  </si>
  <si>
    <t xml:space="preserve">Razzini et al </t>
  </si>
  <si>
    <t xml:space="preserve">Ding et al </t>
  </si>
  <si>
    <t xml:space="preserve">Ahn et al </t>
  </si>
  <si>
    <t xml:space="preserve">Kenarhoohi et al </t>
  </si>
  <si>
    <t xml:space="preserve">Jin et al </t>
  </si>
  <si>
    <t xml:space="preserve">Tan et al </t>
  </si>
  <si>
    <t xml:space="preserve">Ong et al </t>
  </si>
  <si>
    <t xml:space="preserve">Santarpia et al </t>
  </si>
  <si>
    <t xml:space="preserve">Chia et al </t>
  </si>
  <si>
    <t xml:space="preserve">Cheng et al </t>
  </si>
  <si>
    <t xml:space="preserve">Wei et al </t>
  </si>
  <si>
    <t xml:space="preserve">Kim et al </t>
  </si>
  <si>
    <t xml:space="preserve">Binder et al </t>
  </si>
  <si>
    <t xml:space="preserve">Lednicky et al </t>
  </si>
  <si>
    <t xml:space="preserve">Wu et al </t>
  </si>
  <si>
    <t>Areas</t>
  </si>
  <si>
    <t>Ops Test Num</t>
  </si>
  <si>
    <t>Clinical Context</t>
  </si>
  <si>
    <t>Air Ventilation</t>
  </si>
  <si>
    <t>Ventilation Mitigation Result</t>
  </si>
  <si>
    <t>Positivity</t>
  </si>
  <si>
    <t>9 Wuhan</t>
  </si>
  <si>
    <t>FAIL</t>
  </si>
  <si>
    <t>8 Iran</t>
  </si>
  <si>
    <t>Mechanical or Natural</t>
  </si>
  <si>
    <t>PASS</t>
  </si>
  <si>
    <t>11 Wuhan</t>
  </si>
  <si>
    <t>IRs, bay room</t>
  </si>
  <si>
    <t>Unknown</t>
  </si>
  <si>
    <t>23 Milan, Italy</t>
  </si>
  <si>
    <t>Mild</t>
  </si>
  <si>
    <t>25 Wuhan</t>
  </si>
  <si>
    <t>Single room</t>
  </si>
  <si>
    <t>Moderate or mild</t>
  </si>
  <si>
    <t>12 Air changes/h</t>
  </si>
  <si>
    <t>21 Hong Kong</t>
  </si>
  <si>
    <t>17 London</t>
  </si>
  <si>
    <t>24 Korean</t>
  </si>
  <si>
    <t>15 Mild</t>
  </si>
  <si>
    <t>3 Patients per room</t>
  </si>
  <si>
    <t>Single rooms</t>
  </si>
  <si>
    <t>14 Air exchange/h</t>
  </si>
  <si>
    <t>In the ward</t>
  </si>
  <si>
    <t>Workstation</t>
  </si>
  <si>
    <t>ICU, GW</t>
  </si>
  <si>
    <t>1 ICU</t>
  </si>
  <si>
    <t>Corridor and preroom</t>
  </si>
  <si>
    <t>3Mild, ND for others</t>
  </si>
  <si>
    <t>Waste storage</t>
  </si>
  <si>
    <t>FAIL, possible surface contamination</t>
  </si>
  <si>
    <t>Partial PASS, possible surface contamination</t>
  </si>
  <si>
    <t>PASS, possible surface contamination</t>
  </si>
  <si>
    <t>Test</t>
  </si>
  <si>
    <t>Time (hours)</t>
  </si>
  <si>
    <t>COVID-19 (TCID50/L)</t>
  </si>
  <si>
    <t>SARS-CoV-1 (TCID50/L)</t>
  </si>
  <si>
    <t>Aerosol</t>
  </si>
  <si>
    <t>10-3.5</t>
  </si>
  <si>
    <t>10-4.3</t>
  </si>
  <si>
    <t>Value stated in study, starting virus load</t>
  </si>
  <si>
    <t>10-3.1</t>
  </si>
  <si>
    <t>10-4.1</t>
  </si>
  <si>
    <t>Visual extraction from graph</t>
  </si>
  <si>
    <t>10-2.9</t>
  </si>
  <si>
    <t>10-3.8</t>
  </si>
  <si>
    <t>10-2.8</t>
  </si>
  <si>
    <t>10-3.7</t>
  </si>
  <si>
    <t>10-2.7</t>
  </si>
  <si>
    <t>Value stated in study</t>
  </si>
  <si>
    <t>Remaining Virus % COVID-19</t>
  </si>
  <si>
    <t>Remaining Virus %SARS-CoV-1</t>
  </si>
  <si>
    <t xml:space="preserve">[2.1] N. van Doremalen, et al., Aerosol and surface stability of HCoV-19 (SARS-CoV-2) compared to SARS-CoV-1. medRxiv Prepr. Serv. Heal. Sci. (2020) https:/doi.org/10.1101/2020.03.09.20033217. webpage https://www.medrxiv.org/content/10.1101/2020.03.09.20033217v2.full-text, https://www.medrxiv.org/content/10.1101/2020.03.09.20033217v2.full.pdf, January 2022. Aerosol and surface stability of HCoV-19 (SARS-CoV-2) compared to SARS-CoV-1 . PDF. </t>
  </si>
  <si>
    <t>https://www.ncbi.nlm.nih.gov/pmc/articles/PMC7473326/figure/F0001/</t>
  </si>
  <si>
    <t>[2.2] S. J. Smither, L. S. Eastaugh, J. S. Findlay, M. S. Lever, Experimental aerosol survival of SARS-CoV-2 in artificial saliva and tissue culture media at medium and high humidity. Emerg. Microbes Infect. 9, 1415–1417 (2020). webpage https://pubmed.ncbi.nlm.nih.gov/32496967, https://www.tandfonline.com/doi/full/10.1080/22221751.2020.1777906, https://www.ncbi.nlm.nih.gov/pmc/articles/PMC7473326/pdf/TEMI_9_1777906.pdf, January 2022. Experimental aerosol survival of SARS-CoV-2 in artificial saliva and tissue culture media at medium and high humidity . PDF.</t>
  </si>
  <si>
    <t>Time (min)</t>
  </si>
  <si>
    <t>Survival High RH</t>
  </si>
  <si>
    <t>Survival Med RH</t>
  </si>
  <si>
    <t>Survival Artificial Saliva High RH</t>
  </si>
  <si>
    <t>Survival Artificial Saliva Med RH</t>
  </si>
  <si>
    <t>Classroom Testing</t>
  </si>
  <si>
    <t>Room Size: 30 X 30 X 12 feet = 10,800 cu-ft</t>
  </si>
  <si>
    <t>Test Location(s): Any school district, College or University, CDC</t>
  </si>
  <si>
    <t>Responsible Organization: Any school district, College or University, CDC</t>
  </si>
  <si>
    <t>Conversion to the new standards: NIST</t>
  </si>
  <si>
    <t>Key reference documents that must be included in test procedures and reports: A Paradigm Shift to Combat Indoor Respiratory Infection [2]</t>
  </si>
  <si>
    <t>Pre-Test Notes: Small children classroom case history suggests infection happens at 1 ACH. Hospital conditions with PPE suggests 12+ ACH prevents infection.</t>
  </si>
  <si>
    <t>Operational Test</t>
  </si>
  <si>
    <t>Virus Level</t>
  </si>
  <si>
    <t>(10 min)</t>
  </si>
  <si>
    <t>(30 min)</t>
  </si>
  <si>
    <t>(60 min)</t>
  </si>
  <si>
    <t>(2 hrs)</t>
  </si>
  <si>
    <t>(4 hrs)</t>
  </si>
  <si>
    <t>Standard Test CR A0</t>
  </si>
  <si>
    <t>0 ACH</t>
  </si>
  <si>
    <t>min, max, avg</t>
  </si>
  <si>
    <t>Standard Test CR A1</t>
  </si>
  <si>
    <t>1 ACH</t>
  </si>
  <si>
    <t>Standard Test CR A4</t>
  </si>
  <si>
    <t>4 ACH</t>
  </si>
  <si>
    <t>Standard Test CR A6</t>
  </si>
  <si>
    <t>6 ACH</t>
  </si>
  <si>
    <t>Standard Test CR A12</t>
  </si>
  <si>
    <t>12 ACH</t>
  </si>
  <si>
    <t>Standard Test CR A20</t>
  </si>
  <si>
    <t>20 ACH</t>
  </si>
  <si>
    <t>Standard Test CR A24</t>
  </si>
  <si>
    <t>24 ACH</t>
  </si>
  <si>
    <t>Standard Test CR NV</t>
  </si>
  <si>
    <t>Natural Ventilation</t>
  </si>
  <si>
    <t>.</t>
  </si>
  <si>
    <t>Standard Test CR A0-e10</t>
  </si>
  <si>
    <t>0 ACH &amp; Ceiling Level UV-C eAUC = 10</t>
  </si>
  <si>
    <t>Standard Test CR A0-e20</t>
  </si>
  <si>
    <t>0 ACH &amp; Ceiling Level UV-C eAUC = 20</t>
  </si>
  <si>
    <t>Standard Test CR A1-e10</t>
  </si>
  <si>
    <t>1 ACH &amp; Ceiling Level UV-C eAUC = 10</t>
  </si>
  <si>
    <t>Standard Test CR A1-e20</t>
  </si>
  <si>
    <t>1 ACH &amp; Ceiling Level UV-C eAUC = 20</t>
  </si>
  <si>
    <t>Standard Test CR A4-e10</t>
  </si>
  <si>
    <t>4 ACH &amp; Ceiling Level UV-C eAUC = 10</t>
  </si>
  <si>
    <t>Standard Test CR A4-e20</t>
  </si>
  <si>
    <t>4 ACH &amp; Ceiling Level UV-C eAUC = 20</t>
  </si>
  <si>
    <t>Standard Test CR A0-1RS300</t>
  </si>
  <si>
    <t>0 ACH &amp; 1 room sanitizer 300 CFM</t>
  </si>
  <si>
    <t>Standard Test CR A0-1RS500</t>
  </si>
  <si>
    <t>0 ACH &amp; 1 room sanitizer 500 CFM</t>
  </si>
  <si>
    <t>Standard Test CR A1-1RS300</t>
  </si>
  <si>
    <t>1 ACH &amp; 1 room sanitizer 300 CFM</t>
  </si>
  <si>
    <t>Standard Test CR A1-1RS500</t>
  </si>
  <si>
    <t>1 ACH &amp; 1 room sanitizer 500 CFM</t>
  </si>
  <si>
    <t>Standard Test CR A0-P1</t>
  </si>
  <si>
    <t>Proposed products 1</t>
  </si>
  <si>
    <t>Standard Test CR A0-P2</t>
  </si>
  <si>
    <t>Proposed products n</t>
  </si>
  <si>
    <t>Public Building Testing - Small Space</t>
  </si>
  <si>
    <t>Test Location(s): CDC</t>
  </si>
  <si>
    <t>Responsible Organization: CDC</t>
  </si>
  <si>
    <t>Standard Test BSS A0</t>
  </si>
  <si>
    <t>Standard Test BSS A1</t>
  </si>
  <si>
    <t>Standard Test BSS A4</t>
  </si>
  <si>
    <t>Standard Test BSS A6</t>
  </si>
  <si>
    <t>Standard Test BSS A12</t>
  </si>
  <si>
    <t>Standard Test BSS A20</t>
  </si>
  <si>
    <t>Standard Test BSS A24</t>
  </si>
  <si>
    <t>Standard Test BSS NV</t>
  </si>
  <si>
    <t>Standard Test BSS A0-e10</t>
  </si>
  <si>
    <t>Standard Test BSS A0-e20</t>
  </si>
  <si>
    <t>Standard Test BSS A1-e10</t>
  </si>
  <si>
    <t>Standard Test BSS A1-e20</t>
  </si>
  <si>
    <t>Standard Test BSS A4-e10</t>
  </si>
  <si>
    <t>Standard Test BSS A4-e20</t>
  </si>
  <si>
    <t>Standard Test BSS A0-1RS300</t>
  </si>
  <si>
    <t>Standard Test BSS A0-1RS500</t>
  </si>
  <si>
    <t>Standard Test BSS A1-1RS300</t>
  </si>
  <si>
    <t>Standard Test BSS A1-1RS500</t>
  </si>
  <si>
    <t>Standard Test BSS A0-P1</t>
  </si>
  <si>
    <t>Standard Test BSS A0-P2</t>
  </si>
  <si>
    <t>Public Building Testing - Large Space</t>
  </si>
  <si>
    <t>Room Size: 100 X 100 X 40 = 400,000</t>
  </si>
  <si>
    <t>Test Location(s): CDC, private companies, individual government entities with similar facilities</t>
  </si>
  <si>
    <t>Responsible Organization: CDC, private companies, individual government entities with similar facilities</t>
  </si>
  <si>
    <t>Standard Test BLS A0</t>
  </si>
  <si>
    <t>Standard Test BLS A1</t>
  </si>
  <si>
    <t>Standard Test BLS A4</t>
  </si>
  <si>
    <t>Standard Test BLS A6</t>
  </si>
  <si>
    <t>Standard Test BLS A12</t>
  </si>
  <si>
    <t>Standard Test BLS A20</t>
  </si>
  <si>
    <t>Standard Test BLS A24</t>
  </si>
  <si>
    <t>Standard Test BLS NV</t>
  </si>
  <si>
    <t>Standard Test BLS A0-e10</t>
  </si>
  <si>
    <t>Standard Test BLS A0-e20</t>
  </si>
  <si>
    <t>Standard Test BLS A1-e10</t>
  </si>
  <si>
    <t>Standard Test BLS A1-e20</t>
  </si>
  <si>
    <t>Standard Test BLS A4-e10</t>
  </si>
  <si>
    <t>Standard Test BLS A4-e20</t>
  </si>
  <si>
    <t>Standard Test BLS A0-1RS300</t>
  </si>
  <si>
    <t>Standard Test BLS A0-1RS500</t>
  </si>
  <si>
    <t>Standard Test BLS A1-1RS300</t>
  </si>
  <si>
    <t>Standard Test BLS A1-1RS500</t>
  </si>
  <si>
    <t>Standard Test BLS A0-P1</t>
  </si>
  <si>
    <t>Standard Test BLS A0-P2</t>
  </si>
  <si>
    <t>Custom Test - Home Owners Association Clubhouse</t>
  </si>
  <si>
    <t>This test is performed for the pre and post mitigation upgrades. To avoid confusion two separate test logs must be produced. One test log is for the situation before any contagion mitigations and one is for the post mitigations virus levels. This is a pattern that can be used for all other public buildings such as elder care facilities.</t>
  </si>
  <si>
    <t>Test Location(s): Actual home owners association clubhouse</t>
  </si>
  <si>
    <t>Responsible Organization: Home Owners Association Organization entity</t>
  </si>
  <si>
    <t>Approach: Let CDC teams go out and oversee or perform the needed tests for free based on requests from the Home Owners Association Organization.</t>
  </si>
  <si>
    <t>Test Log 1: Pre Mitigation</t>
  </si>
  <si>
    <t>Pre Mitigation</t>
  </si>
  <si>
    <t>Room Size</t>
  </si>
  <si>
    <t>(cu-ft)</t>
  </si>
  <si>
    <t>Measured Ventilation</t>
  </si>
  <si>
    <t>(ACH and or eACH)</t>
  </si>
  <si>
    <t>Room 1</t>
  </si>
  <si>
    <t>Room 2</t>
  </si>
  <si>
    <t>Room n</t>
  </si>
  <si>
    <t>Test Log 2: Post Mitigation</t>
  </si>
  <si>
    <t>Post Mitigation</t>
  </si>
  <si>
    <t>Airport TSA, Ticket, and Gate Areas Testing</t>
  </si>
  <si>
    <t>This test is performed for the pre and post mitigation upgrades. To avoid confusion two separate test logs must be produced. One test log is for the situation before any contagion mitigations and one is for the post mitigations virus levels. The FAA has a challenge because many airports operate 24/7/365, however there are airports that shutdown after midnight like ACY and there are airports whose terminals have little activity during the midnight shift that can be closed off to perform the tests in a 4 to 6 hour window. The FAA can expand their test and evaluation program to include testing all their facilities including: TRACONS, Towers, EnRoute Centers, Lab Facilities, Administrative Facilities. This will provide a wealth of information to the rest of the world because of the diversity of the FAA facilities.</t>
  </si>
  <si>
    <t>Test Location(s): All US Airports</t>
  </si>
  <si>
    <t>Responsible Organization: FAA</t>
  </si>
  <si>
    <t>Area Size</t>
  </si>
  <si>
    <t>Airport 1 Ticket Area 1</t>
  </si>
  <si>
    <t>Airport 1 TSA Area 1</t>
  </si>
  <si>
    <t>Airport 1 Gate Area 1</t>
  </si>
  <si>
    <t>Airport 1 Ticket Area n</t>
  </si>
  <si>
    <t>Airport 1 TSA Area n</t>
  </si>
  <si>
    <t>Airport 1 Gate Area n</t>
  </si>
  <si>
    <t>Airport n</t>
  </si>
  <si>
    <t>Airplane Cabin Testing</t>
  </si>
  <si>
    <t>This test is performed for the pre and post mitigation upgrades. To avoid confusion two separate test logs must be produced. One test log is for the situation before any contagion mitigations and one is for the post mitigations virus levels.</t>
  </si>
  <si>
    <t>Test Location(s): William J. Hughes Technical Center</t>
  </si>
  <si>
    <t>Cabin Size</t>
  </si>
  <si>
    <t>Air Frame 1</t>
  </si>
  <si>
    <t>Air Frame 2</t>
  </si>
  <si>
    <t>Air Frame n</t>
  </si>
  <si>
    <t>Amps</t>
  </si>
  <si>
    <t>https://www.electricmotorwarehouse.com/content/PDF/1XJX7_spec.pdf</t>
  </si>
  <si>
    <t>Initial Cost</t>
  </si>
  <si>
    <t>https://www.grainger.com/product/DAYTON-1-hpHP-115V-Double-Inlet-Forward-1XJY3</t>
  </si>
  <si>
    <t>ceiling</t>
  </si>
  <si>
    <t>Watts / CFM</t>
  </si>
  <si>
    <t>ACH = CFM*60/cu-ft</t>
  </si>
  <si>
    <t>CFM = ACH*cu-ft/60</t>
  </si>
  <si>
    <t>Derived / check</t>
  </si>
  <si>
    <t>Watts / ACH</t>
  </si>
  <si>
    <t>Derived / Check</t>
  </si>
  <si>
    <t>Baseline Approach</t>
  </si>
  <si>
    <t>eACH</t>
  </si>
  <si>
    <t>Watts / eACH</t>
  </si>
  <si>
    <t>Watts/eCFM</t>
  </si>
  <si>
    <t>https://www.lumalier.com/upper-air-disinfection/ceiling-mounted/gc-cieling-mount</t>
  </si>
  <si>
    <t>Units</t>
  </si>
  <si>
    <t>GC-295 (2x95W bulbs)</t>
  </si>
  <si>
    <t>Dayton Furnace Blower possible</t>
  </si>
  <si>
    <t>Dayton Furnace Blower Selected</t>
  </si>
  <si>
    <t>GC-295 (2x95W bulbs) Selected</t>
  </si>
  <si>
    <t>eCFM</t>
  </si>
  <si>
    <t>used to check derived design from the selected approach</t>
  </si>
  <si>
    <t>https://www.youtube.com/watch?v=cTK7QnrKe1M</t>
  </si>
  <si>
    <t>Delta Mech/UV-C</t>
  </si>
  <si>
    <t>Ventilation Alternatives Cost Analysis</t>
  </si>
  <si>
    <t>Mechanical</t>
  </si>
  <si>
    <t>Cost Difference</t>
  </si>
  <si>
    <t>Ceiling Level UV-C</t>
  </si>
  <si>
    <t>Mechanical ventilation costs 8 times more than ceiling level UV-C ventilation</t>
  </si>
  <si>
    <t>Total Pop infected, deaths, vacinated</t>
  </si>
  <si>
    <t>Standard Test x A0</t>
  </si>
  <si>
    <t>Virus Level (10 min)</t>
  </si>
  <si>
    <t>Virus Level  (30 min)</t>
  </si>
  <si>
    <t>Virus Level  (60 min)</t>
  </si>
  <si>
    <t>Virus Level (2 hrs)</t>
  </si>
  <si>
    <t>Virus Level  (4 hrs)</t>
  </si>
  <si>
    <t>Virus Level (1 min)</t>
  </si>
  <si>
    <t>Aerosol cloud cu-ft</t>
  </si>
  <si>
    <t>virus load at source</t>
  </si>
  <si>
    <t>virus load at measured location (sd)</t>
  </si>
  <si>
    <t>Sensor distance (sd) (ft)</t>
  </si>
  <si>
    <t>space size not a factor in cloud dilution</t>
  </si>
  <si>
    <t>cloud fully dispersed at 10+ min and 2+ ft</t>
  </si>
  <si>
    <t>Aeosol Mental model #2 uniform distribution in space ACH = 0</t>
  </si>
  <si>
    <t>Aerosol Mental model #1 traveling cloud ACH = 0</t>
  </si>
  <si>
    <t>Mental Model of Possible Test Results</t>
  </si>
  <si>
    <t>Standard Test x A4</t>
  </si>
  <si>
    <t>Standard Test x A6</t>
  </si>
  <si>
    <t>Standard Test x A12</t>
  </si>
  <si>
    <t>Standard Test x A20</t>
  </si>
  <si>
    <t>Standard Test x A24</t>
  </si>
  <si>
    <t>Notes: (a) Case history shows infection happens at this level, see section School Case History.</t>
  </si>
  <si>
    <t>Standard Test x A1 (a)</t>
  </si>
  <si>
    <t>virus level = 100% virus/ACH = 1/ACH for time &gt;= 60 min</t>
  </si>
  <si>
    <t>virus level = virus level at 60 min * time / 60 for virus &lt; 60 min</t>
  </si>
  <si>
    <t>Ventilation ACH (avg)</t>
  </si>
  <si>
    <t>Classroom infection happens in 60 minutes</t>
  </si>
  <si>
    <t xml:space="preserve">Virus Level (0) = 80/1200 = </t>
  </si>
  <si>
    <t xml:space="preserve">Virus Level (0) = 7/1200 = </t>
  </si>
  <si>
    <t>the ventilation system must maintain this performance level of remaining contagions at all times</t>
  </si>
  <si>
    <t>Mental model # 1 suggests this ACH level</t>
  </si>
  <si>
    <t>Mental model # 2 suggests this ACH level +</t>
  </si>
  <si>
    <t>a. Classroom infection happens in 60 minutes</t>
  </si>
  <si>
    <t>b. space size is not a factor in cloud dilution for this model of a traveling cloud</t>
  </si>
  <si>
    <t>c. The virus load = virus count = particle count</t>
  </si>
  <si>
    <t>d. The aerosol cloud density is calculated as (sd*sd/4)*4 ft</t>
  </si>
  <si>
    <t>Aerosol Cloud Mental Models</t>
  </si>
  <si>
    <t>Particle Count (1 min)</t>
  </si>
  <si>
    <t>Particle Count (10 min)</t>
  </si>
  <si>
    <t>Particle Count  (30 min)</t>
  </si>
  <si>
    <t>Particle Count  (60 min)</t>
  </si>
  <si>
    <t>Particle Count (2 hrs)</t>
  </si>
  <si>
    <t>Particle Count  (4 hrs)</t>
  </si>
  <si>
    <t>Particles / min</t>
  </si>
  <si>
    <t>length ft</t>
  </si>
  <si>
    <t>width ft</t>
  </si>
  <si>
    <t>height ft</t>
  </si>
  <si>
    <t>vent width inches</t>
  </si>
  <si>
    <t>vent length inches</t>
  </si>
  <si>
    <t>number of vents</t>
  </si>
  <si>
    <t>measured air ft per min</t>
  </si>
  <si>
    <t>cubic feet</t>
  </si>
  <si>
    <t>vent type A</t>
  </si>
  <si>
    <t>vent type B</t>
  </si>
  <si>
    <t xml:space="preserve">ACH calculations for a Generic space </t>
  </si>
  <si>
    <t>cubic feet per min CFM</t>
  </si>
  <si>
    <t>cubic feet per hour CFH</t>
  </si>
  <si>
    <t>total CFH</t>
  </si>
  <si>
    <t>vent sq inches</t>
  </si>
  <si>
    <t>vent sq feet</t>
  </si>
  <si>
    <t>sq feet</t>
  </si>
  <si>
    <t>16 windows</t>
  </si>
  <si>
    <t>10 windows</t>
  </si>
  <si>
    <t>estimated</t>
  </si>
  <si>
    <t>FAR UV</t>
  </si>
  <si>
    <t>https://rzero.com/vive/?utm_source=JSJD-Google&amp;utm_medium=cpc&amp;utm_campaign=rZero-Search&amp;utm_content=Vive&amp;CID=JSJDGoogleCPC</t>
  </si>
  <si>
    <t>meters</t>
  </si>
  <si>
    <t>feet</t>
  </si>
  <si>
    <t>% room height</t>
  </si>
  <si>
    <t>time min</t>
  </si>
  <si>
    <t>eACH slice</t>
  </si>
  <si>
    <t>eACH avg 3 foot from floor level</t>
  </si>
  <si>
    <t>eACH avg floor level</t>
  </si>
  <si>
    <t>ACH (total CFH/cubic feet)</t>
  </si>
  <si>
    <t>ACH calculations for a Generic space where the following data is provided</t>
  </si>
  <si>
    <t>building(s) square feet</t>
  </si>
  <si>
    <t>Total facility with all buildings</t>
  </si>
  <si>
    <t>Assumed average ceiling height</t>
  </si>
  <si>
    <t>building(s) cubic feet</t>
  </si>
  <si>
    <t>Cubic feet per min (CFM)</t>
  </si>
  <si>
    <t>AHUs push nearly 11 million cubic feet of air each minute</t>
  </si>
  <si>
    <t>Cubic feet per hour (CFH)</t>
  </si>
  <si>
    <t>ACH (CFH/buildings cubic feet)</t>
  </si>
  <si>
    <t>If We're Going to Live With COVID-19, It's Time to Clean Our Indoor Air Properly</t>
  </si>
  <si>
    <t xml:space="preserve">By Edward A Nardell </t>
  </si>
  <si>
    <t>February 1, 2022 3:37 PM EST</t>
  </si>
  <si>
    <t>Nardell is Professor of Global Health and Social Medicine, Harvard Medical School</t>
  </si>
  <si>
    <t>one air change removes approximately 63% of room air contaminants, and a second air change removes about 63% of what remains, and so on.</t>
  </si>
  <si>
    <t>Remaining Virus
63% / AC</t>
  </si>
  <si>
    <t>Filter Level</t>
  </si>
  <si>
    <t>This analysis is focused on educating those people so that they know how to live going forward.</t>
  </si>
  <si>
    <t>Outside courtyard</t>
  </si>
  <si>
    <t>Outside wide open</t>
  </si>
  <si>
    <t>Outside large pool area</t>
  </si>
  <si>
    <t>Odds of Dying 1:x</t>
  </si>
  <si>
    <t xml:space="preserve">Cause of Death </t>
  </si>
  <si>
    <t># of Infected</t>
  </si>
  <si>
    <t xml:space="preserve">In 2022 people are still wearing masks outside showing that they still do no understand or are aware of the probability of infection in the 3 scenarios. </t>
  </si>
  <si>
    <t>0. Worst disease</t>
  </si>
  <si>
    <t>1. Heart disease</t>
  </si>
  <si>
    <t>2. Cancer</t>
  </si>
  <si>
    <t>3. All preventable causes of death</t>
  </si>
  <si>
    <t>4. Chronic lower respiratory disease</t>
  </si>
  <si>
    <t>5. Suicide</t>
  </si>
  <si>
    <t>6. Opioid overdose</t>
  </si>
  <si>
    <t>7. Fall</t>
  </si>
  <si>
    <t>9. Gun assault</t>
  </si>
  <si>
    <t>11. Motorcyclist</t>
  </si>
  <si>
    <t>12. Drowning</t>
  </si>
  <si>
    <t>13. Fire or smoke</t>
  </si>
  <si>
    <t>14. Choking on food</t>
  </si>
  <si>
    <t>15. Bicyclist</t>
  </si>
  <si>
    <t>16. Sunstroke</t>
  </si>
  <si>
    <t>17. Accidental gun discharge</t>
  </si>
  <si>
    <t>18. Electrocution, radiation, extreme temperatures, and pressure</t>
  </si>
  <si>
    <t>19. Sharp objects</t>
  </si>
  <si>
    <t>20. Cataclysmic storm</t>
  </si>
  <si>
    <t>21. Hornet, wasp, and bee stings</t>
  </si>
  <si>
    <t>22. Hot surfaces and substances</t>
  </si>
  <si>
    <t>23. Dog attack</t>
  </si>
  <si>
    <t>Remaining Virus * 63% / AC</t>
  </si>
  <si>
    <t>Infection Risk (1/ACH) Safety world</t>
  </si>
  <si>
    <t>Systems Safety Perspective</t>
  </si>
  <si>
    <t>8. Motor vehicle crash</t>
  </si>
  <si>
    <t>10. Pedestrian incident</t>
  </si>
  <si>
    <t>24. Lightning</t>
  </si>
  <si>
    <t>Well-Riley Perspective</t>
  </si>
  <si>
    <t>Remaining Virus Medical Perspective</t>
  </si>
  <si>
    <t>p cu-in/sec</t>
  </si>
  <si>
    <t>Q cu-in/sec</t>
  </si>
  <si>
    <t>2 Masks @ 75%</t>
  </si>
  <si>
    <t>Q cu-ft/hr</t>
  </si>
  <si>
    <t>Indoor Space</t>
  </si>
  <si>
    <t>Well-Riley Perspective Small Indoor Space</t>
  </si>
  <si>
    <t>Well-Riley Perspective Large Indoor Space</t>
  </si>
  <si>
    <t>Well-Riley Perspective Large Indoor Space ignore 0 ACH</t>
  </si>
  <si>
    <t>Benefit</t>
  </si>
  <si>
    <t>Benefit Remaining Virus Medical Perspective</t>
  </si>
  <si>
    <t>Benefit Systems Safety Perspective</t>
  </si>
  <si>
    <t>Benefit Well-Riley Perspective Small Indoor Space</t>
  </si>
  <si>
    <t>Benefit Well-Riley Perspective Large Indoor Space</t>
  </si>
  <si>
    <t>Death Rate factor based on empiracal data where COVID-19 has been the leading cause of death for almost 2 years</t>
  </si>
  <si>
    <t>Chance of Death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</si>
</sst>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164" formatCode="0.0"/>
    <numFmt numFmtId="165" formatCode="0.0000"/>
    <numFmt numFmtId="166" formatCode="0.000000000"/>
    <numFmt numFmtId="167" formatCode="0.0000000"/>
    <numFmt numFmtId="168" formatCode="0.0000000E+00"/>
    <numFmt numFmtId="169" formatCode="#,##0.0000"/>
    <numFmt numFmtId="170" formatCode="0.0%"/>
    <numFmt numFmtId="171" formatCode="mm/yy"/>
    <numFmt numFmtId="172" formatCode="&quot;$&quot;#,##0"/>
    <numFmt numFmtId="173" formatCode="&quot;$&quot;#,##0.00"/>
    <numFmt numFmtId="174" formatCode="mm/dd/yy;@"/>
    <numFmt numFmtId="175" formatCode="#,##0.00000"/>
    <numFmt numFmtId="176" formatCode="0.00000%"/>
    <numFmt numFmtId="177" formatCode="0.000000"/>
    <numFmt numFmtId="178" formatCode="#,##0.0000000000000"/>
    <numFmt numFmtId="179" formatCode="0.0000000%"/>
    <numFmt numFmtId="180" formatCode="0.0000%"/>
  </numFmts>
  <fonts count="27" x14ac:knownFonts="1">
    <font>
      <sz val="11"/>
      <color theme="1"/>
      <name val="Calibri"/>
      <family val="2"/>
      <scheme val="minor"/>
    </font>
    <font>
      <b/>
      <sz val="11"/>
      <color theme="1"/>
      <name val="Calibri"/>
      <family val="2"/>
      <scheme val="minor"/>
    </font>
    <font>
      <sz val="12"/>
      <color theme="1"/>
      <name val="Times New Roman"/>
      <family val="1"/>
    </font>
    <font>
      <b/>
      <sz val="12"/>
      <color theme="1"/>
      <name val="Times New Roman"/>
      <family val="1"/>
    </font>
    <font>
      <u/>
      <sz val="11"/>
      <color theme="10"/>
      <name val="Calibri"/>
      <family val="2"/>
      <scheme val="minor"/>
    </font>
    <font>
      <b/>
      <sz val="13.5"/>
      <color theme="1"/>
      <name val="Calibri"/>
      <family val="2"/>
      <scheme val="minor"/>
    </font>
    <font>
      <i/>
      <sz val="11"/>
      <color theme="1"/>
      <name val="Calibri"/>
      <family val="2"/>
      <scheme val="minor"/>
    </font>
    <font>
      <b/>
      <u/>
      <sz val="11"/>
      <color theme="1"/>
      <name val="Calibri"/>
      <family val="2"/>
      <scheme val="minor"/>
    </font>
    <font>
      <u/>
      <sz val="12"/>
      <color theme="10"/>
      <name val="Times New Roman"/>
      <family val="1"/>
    </font>
    <font>
      <sz val="12"/>
      <color rgb="FF000000"/>
      <name val="Times New Roman"/>
      <family val="1"/>
    </font>
    <font>
      <sz val="11"/>
      <color rgb="FF000000"/>
      <name val="Calibri"/>
      <family val="2"/>
    </font>
    <font>
      <sz val="11"/>
      <color rgb="FF000000"/>
      <name val="Calibri"/>
      <family val="2"/>
      <scheme val="minor"/>
    </font>
    <font>
      <sz val="11"/>
      <color theme="1"/>
      <name val="Times New Roman"/>
      <family val="1"/>
    </font>
    <font>
      <b/>
      <sz val="11"/>
      <color theme="1"/>
      <name val="Times New Roman"/>
      <family val="1"/>
    </font>
    <font>
      <sz val="11"/>
      <color theme="1"/>
      <name val="Arial"/>
      <family val="2"/>
    </font>
    <font>
      <b/>
      <sz val="11"/>
      <color theme="1"/>
      <name val="Arial"/>
      <family val="2"/>
    </font>
    <font>
      <sz val="11"/>
      <name val="Calibri"/>
      <family val="2"/>
      <scheme val="minor"/>
    </font>
    <font>
      <b/>
      <i/>
      <sz val="11"/>
      <color theme="1"/>
      <name val="Calibri"/>
      <family val="2"/>
      <scheme val="minor"/>
    </font>
    <font>
      <vertAlign val="superscript"/>
      <sz val="7.5"/>
      <color theme="1"/>
      <name val="Calibri"/>
      <family val="2"/>
      <scheme val="minor"/>
    </font>
    <font>
      <sz val="7.5"/>
      <color theme="1"/>
      <name val="Calibri"/>
      <family val="2"/>
      <scheme val="minor"/>
    </font>
    <font>
      <b/>
      <vertAlign val="superscript"/>
      <sz val="11"/>
      <color theme="1"/>
      <name val="Calibri"/>
      <family val="2"/>
      <scheme val="minor"/>
    </font>
    <font>
      <b/>
      <sz val="11"/>
      <name val="Calibri"/>
      <family val="2"/>
      <scheme val="minor"/>
    </font>
    <font>
      <sz val="10"/>
      <color theme="1"/>
      <name val="Arial"/>
      <family val="2"/>
    </font>
    <font>
      <b/>
      <sz val="14"/>
      <color theme="1"/>
      <name val="Calibri"/>
      <family val="2"/>
      <scheme val="minor"/>
    </font>
    <font>
      <b/>
      <sz val="10"/>
      <color theme="1"/>
      <name val="Arial"/>
      <family val="2"/>
    </font>
    <font>
      <b/>
      <u/>
      <sz val="10"/>
      <color theme="1"/>
      <name val="Arial"/>
      <family val="2"/>
    </font>
    <font>
      <b/>
      <sz val="11"/>
      <color rgb="FF000000"/>
      <name val="Calibri"/>
      <family val="2"/>
      <scheme val="minor"/>
    </font>
  </fonts>
  <fills count="24">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EEEFEF"/>
        <bgColor indexed="64"/>
      </patternFill>
    </fill>
    <fill>
      <patternFill patternType="solid">
        <fgColor rgb="FFFFC000"/>
        <bgColor indexed="64"/>
      </patternFill>
    </fill>
    <fill>
      <patternFill patternType="solid">
        <fgColor rgb="FFFF0000"/>
        <bgColor indexed="64"/>
      </patternFill>
    </fill>
    <fill>
      <patternFill patternType="solid">
        <fgColor rgb="FFFF6464"/>
        <bgColor indexed="64"/>
      </patternFill>
    </fill>
    <fill>
      <patternFill patternType="solid">
        <fgColor rgb="FFFFC8C8"/>
        <bgColor indexed="64"/>
      </patternFill>
    </fill>
    <fill>
      <patternFill patternType="solid">
        <fgColor rgb="FFFF9900"/>
        <bgColor indexed="64"/>
      </patternFill>
    </fill>
    <fill>
      <patternFill patternType="solid">
        <fgColor rgb="FFFFB84F"/>
        <bgColor indexed="64"/>
      </patternFill>
    </fill>
    <fill>
      <patternFill patternType="solid">
        <fgColor rgb="FFFFFF99"/>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B07BD7"/>
        <bgColor indexed="64"/>
      </patternFill>
    </fill>
    <fill>
      <patternFill patternType="solid">
        <fgColor rgb="FFD5B8EA"/>
        <bgColor indexed="64"/>
      </patternFill>
    </fill>
    <fill>
      <patternFill patternType="solid">
        <fgColor rgb="FFFF9797"/>
        <bgColor indexed="64"/>
      </patternFill>
    </fill>
    <fill>
      <patternFill patternType="solid">
        <fgColor rgb="FF00B050"/>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FD597"/>
        <bgColor indexed="64"/>
      </patternFill>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398">
    <xf numFmtId="0" fontId="0" fillId="0" borderId="0" xfId="0"/>
    <xf numFmtId="0" fontId="0" fillId="0" borderId="0" xfId="0" applyAlignment="1">
      <alignment vertical="center"/>
    </xf>
    <xf numFmtId="0" fontId="0" fillId="0" borderId="0" xfId="0" applyAlignment="1">
      <alignment wrapText="1"/>
    </xf>
    <xf numFmtId="0" fontId="2" fillId="0" borderId="0" xfId="0" applyFont="1" applyAlignment="1">
      <alignment vertical="center" wrapText="1"/>
    </xf>
    <xf numFmtId="0" fontId="0" fillId="0" borderId="0" xfId="0" applyAlignment="1">
      <alignment horizontal="center" vertical="center"/>
    </xf>
    <xf numFmtId="0" fontId="2" fillId="0" borderId="0" xfId="0" applyFont="1" applyAlignment="1">
      <alignment horizontal="center" vertical="center"/>
    </xf>
    <xf numFmtId="0" fontId="0" fillId="0" borderId="0" xfId="0" applyAlignment="1">
      <alignment vertical="center" wrapText="1"/>
    </xf>
    <xf numFmtId="0" fontId="2" fillId="0" borderId="1" xfId="0" applyFont="1" applyBorder="1" applyAlignment="1">
      <alignment vertical="center" wrapText="1"/>
    </xf>
    <xf numFmtId="0" fontId="2" fillId="0" borderId="1" xfId="0" applyFont="1" applyBorder="1" applyAlignment="1">
      <alignment vertical="center"/>
    </xf>
    <xf numFmtId="3" fontId="2" fillId="0" borderId="1" xfId="0" applyNumberFormat="1" applyFont="1" applyBorder="1" applyAlignment="1">
      <alignment horizontal="right" vertical="center"/>
    </xf>
    <xf numFmtId="0" fontId="2" fillId="0" borderId="1" xfId="0" applyFont="1" applyBorder="1" applyAlignment="1">
      <alignment horizontal="right" vertical="center"/>
    </xf>
    <xf numFmtId="0" fontId="2" fillId="0" borderId="0" xfId="0" applyFont="1"/>
    <xf numFmtId="0" fontId="2" fillId="0" borderId="0" xfId="0" applyFont="1" applyAlignment="1">
      <alignment wrapText="1"/>
    </xf>
    <xf numFmtId="0" fontId="4" fillId="0" borderId="0" xfId="1"/>
    <xf numFmtId="0" fontId="0" fillId="0" borderId="0" xfId="0" applyAlignment="1">
      <alignment horizontal="left" vertical="center" wrapText="1"/>
    </xf>
    <xf numFmtId="0" fontId="1" fillId="0" borderId="0" xfId="0" applyFont="1" applyAlignment="1">
      <alignment horizontal="center" vertical="center"/>
    </xf>
    <xf numFmtId="0" fontId="5" fillId="0" borderId="0" xfId="0" applyFont="1" applyAlignment="1">
      <alignment horizontal="left" vertical="top"/>
    </xf>
    <xf numFmtId="0" fontId="0" fillId="0" borderId="0" xfId="0" applyAlignment="1">
      <alignment horizontal="left" vertical="top"/>
    </xf>
    <xf numFmtId="0" fontId="1" fillId="0" borderId="0" xfId="0" applyFont="1" applyAlignment="1">
      <alignment horizontal="left" vertical="top" wrapText="1"/>
    </xf>
    <xf numFmtId="0" fontId="0" fillId="0" borderId="0" xfId="0" applyAlignment="1">
      <alignment horizontal="left" vertical="top" wrapText="1"/>
    </xf>
    <xf numFmtId="0" fontId="4" fillId="0" borderId="0" xfId="1" applyAlignment="1">
      <alignment vertical="center" wrapText="1"/>
    </xf>
    <xf numFmtId="0" fontId="1" fillId="0" borderId="0" xfId="0" applyFont="1" applyAlignment="1">
      <alignment vertical="center"/>
    </xf>
    <xf numFmtId="3" fontId="0" fillId="0" borderId="0" xfId="0" applyNumberFormat="1" applyAlignment="1">
      <alignment vertical="center"/>
    </xf>
    <xf numFmtId="0" fontId="6" fillId="0" borderId="0" xfId="0" applyFont="1" applyAlignment="1">
      <alignment horizontal="left" vertical="center" wrapText="1"/>
    </xf>
    <xf numFmtId="0" fontId="7" fillId="0" borderId="0" xfId="0" applyFont="1"/>
    <xf numFmtId="0" fontId="3" fillId="0" borderId="0" xfId="0" applyFont="1" applyAlignment="1">
      <alignment horizontal="center" vertical="center"/>
    </xf>
    <xf numFmtId="0" fontId="2" fillId="0" borderId="0" xfId="0" applyFont="1" applyAlignment="1">
      <alignment vertical="center"/>
    </xf>
    <xf numFmtId="0" fontId="8" fillId="0" borderId="0" xfId="1" applyFont="1" applyAlignment="1">
      <alignment horizontal="center" vertical="center"/>
    </xf>
    <xf numFmtId="0" fontId="1" fillId="0" borderId="0" xfId="0" applyFont="1"/>
    <xf numFmtId="3" fontId="1" fillId="0" borderId="0" xfId="0" applyNumberFormat="1" applyFont="1"/>
    <xf numFmtId="3" fontId="0" fillId="0" borderId="0" xfId="0" applyNumberFormat="1"/>
    <xf numFmtId="1" fontId="0" fillId="0" borderId="0" xfId="0" applyNumberFormat="1"/>
    <xf numFmtId="0" fontId="1" fillId="0" borderId="0" xfId="0" applyFont="1" applyAlignment="1">
      <alignment horizontal="center"/>
    </xf>
    <xf numFmtId="0" fontId="0" fillId="0" borderId="0" xfId="0" applyAlignment="1">
      <alignment horizontal="center"/>
    </xf>
    <xf numFmtId="9" fontId="0" fillId="0" borderId="0" xfId="0" applyNumberFormat="1"/>
    <xf numFmtId="0" fontId="3" fillId="0" borderId="0" xfId="0" applyFont="1" applyAlignment="1">
      <alignment vertical="center"/>
    </xf>
    <xf numFmtId="0" fontId="9" fillId="0" borderId="0" xfId="0" applyFont="1" applyAlignment="1">
      <alignment vertical="center"/>
    </xf>
    <xf numFmtId="14" fontId="2" fillId="0" borderId="0" xfId="0" applyNumberFormat="1" applyFont="1" applyAlignment="1">
      <alignment horizontal="center" vertical="center"/>
    </xf>
    <xf numFmtId="3" fontId="1" fillId="0" borderId="0" xfId="0" applyNumberFormat="1" applyFont="1" applyAlignment="1">
      <alignment horizontal="right" vertical="center" wrapText="1"/>
    </xf>
    <xf numFmtId="0" fontId="1" fillId="0" borderId="0" xfId="0" applyFont="1" applyAlignment="1">
      <alignment horizontal="left"/>
    </xf>
    <xf numFmtId="0" fontId="0" fillId="0" borderId="0" xfId="0" applyAlignment="1">
      <alignment horizontal="left"/>
    </xf>
    <xf numFmtId="0" fontId="0" fillId="0" borderId="0" xfId="0" applyAlignment="1">
      <alignment horizontal="right" vertical="center" wrapText="1"/>
    </xf>
    <xf numFmtId="0" fontId="1" fillId="0" borderId="0" xfId="0" applyFont="1" applyAlignment="1">
      <alignment horizontal="center" wrapText="1"/>
    </xf>
    <xf numFmtId="0" fontId="10" fillId="0" borderId="0" xfId="0" applyFont="1" applyAlignment="1">
      <alignment horizontal="center" vertical="center"/>
    </xf>
    <xf numFmtId="0" fontId="11" fillId="0" borderId="0" xfId="0" applyFont="1" applyAlignment="1">
      <alignment vertical="center"/>
    </xf>
    <xf numFmtId="1" fontId="0" fillId="0" borderId="0" xfId="0" applyNumberFormat="1" applyAlignment="1">
      <alignment horizontal="right"/>
    </xf>
    <xf numFmtId="2" fontId="0" fillId="0" borderId="0" xfId="0" applyNumberFormat="1"/>
    <xf numFmtId="0" fontId="0" fillId="0" borderId="0" xfId="0" applyAlignment="1">
      <alignment horizontal="right"/>
    </xf>
    <xf numFmtId="1" fontId="1" fillId="0" borderId="0" xfId="0" applyNumberFormat="1" applyFont="1"/>
    <xf numFmtId="2" fontId="1" fillId="0" borderId="0" xfId="0" applyNumberFormat="1" applyFont="1"/>
    <xf numFmtId="49" fontId="0" fillId="0" borderId="0" xfId="0" applyNumberFormat="1"/>
    <xf numFmtId="49" fontId="1" fillId="0" borderId="0" xfId="0" applyNumberFormat="1" applyFont="1"/>
    <xf numFmtId="0" fontId="4" fillId="0" borderId="0" xfId="1" applyAlignment="1">
      <alignment horizontal="left"/>
    </xf>
    <xf numFmtId="2" fontId="0" fillId="2" borderId="0" xfId="0" applyNumberFormat="1" applyFill="1"/>
    <xf numFmtId="1" fontId="0" fillId="0" borderId="0" xfId="0" applyNumberFormat="1" applyAlignment="1">
      <alignment horizontal="center"/>
    </xf>
    <xf numFmtId="3" fontId="0" fillId="0" borderId="0" xfId="0" applyNumberFormat="1" applyAlignment="1">
      <alignment horizontal="center"/>
    </xf>
    <xf numFmtId="9" fontId="0" fillId="0" borderId="0" xfId="0" applyNumberFormat="1" applyAlignment="1">
      <alignment horizontal="center" wrapText="1"/>
    </xf>
    <xf numFmtId="10" fontId="0" fillId="0" borderId="0" xfId="0" applyNumberFormat="1"/>
    <xf numFmtId="164" fontId="0" fillId="0" borderId="0" xfId="0" applyNumberFormat="1" applyAlignment="1">
      <alignment horizontal="center"/>
    </xf>
    <xf numFmtId="5" fontId="0" fillId="0" borderId="0" xfId="0" applyNumberFormat="1"/>
    <xf numFmtId="7" fontId="0" fillId="0" borderId="0" xfId="0" applyNumberFormat="1"/>
    <xf numFmtId="0" fontId="3" fillId="0" borderId="0" xfId="0" applyFont="1"/>
    <xf numFmtId="0" fontId="3" fillId="0" borderId="0" xfId="0" applyFont="1" applyAlignment="1">
      <alignment horizontal="center" wrapText="1"/>
    </xf>
    <xf numFmtId="0" fontId="3" fillId="0" borderId="0" xfId="0" applyFont="1" applyAlignment="1">
      <alignment horizontal="center"/>
    </xf>
    <xf numFmtId="165" fontId="2" fillId="0" borderId="0" xfId="0" applyNumberFormat="1" applyFont="1"/>
    <xf numFmtId="1" fontId="2" fillId="0" borderId="0" xfId="0" applyNumberFormat="1" applyFont="1"/>
    <xf numFmtId="2" fontId="2" fillId="0" borderId="0" xfId="0" applyNumberFormat="1" applyFont="1"/>
    <xf numFmtId="3" fontId="2" fillId="0" borderId="0" xfId="0" applyNumberFormat="1" applyFont="1"/>
    <xf numFmtId="4" fontId="2" fillId="0" borderId="0" xfId="0" applyNumberFormat="1" applyFont="1"/>
    <xf numFmtId="2" fontId="2" fillId="0" borderId="0" xfId="0" applyNumberFormat="1" applyFont="1" applyAlignment="1">
      <alignment horizontal="center"/>
    </xf>
    <xf numFmtId="3" fontId="2" fillId="0" borderId="0" xfId="0" applyNumberFormat="1" applyFont="1" applyAlignment="1">
      <alignment horizontal="center"/>
    </xf>
    <xf numFmtId="166" fontId="2" fillId="0" borderId="0" xfId="0" applyNumberFormat="1" applyFont="1"/>
    <xf numFmtId="0" fontId="3" fillId="0" borderId="0" xfId="0" applyFont="1" applyAlignment="1">
      <alignment wrapText="1"/>
    </xf>
    <xf numFmtId="167" fontId="2" fillId="0" borderId="0" xfId="0" applyNumberFormat="1" applyFont="1"/>
    <xf numFmtId="0" fontId="2" fillId="0" borderId="0" xfId="0" applyFont="1" applyAlignment="1">
      <alignment horizontal="center"/>
    </xf>
    <xf numFmtId="168" fontId="2" fillId="0" borderId="0" xfId="0" applyNumberFormat="1" applyFont="1"/>
    <xf numFmtId="167" fontId="0" fillId="0" borderId="0" xfId="0" applyNumberFormat="1"/>
    <xf numFmtId="165" fontId="0" fillId="0" borderId="0" xfId="0" applyNumberFormat="1"/>
    <xf numFmtId="165" fontId="0" fillId="0" borderId="0" xfId="0" applyNumberFormat="1" applyAlignment="1">
      <alignment horizontal="center"/>
    </xf>
    <xf numFmtId="0" fontId="1" fillId="0" borderId="0" xfId="0" applyFont="1" applyAlignment="1">
      <alignment wrapText="1"/>
    </xf>
    <xf numFmtId="164" fontId="0" fillId="0" borderId="0" xfId="0" applyNumberFormat="1"/>
    <xf numFmtId="0" fontId="1" fillId="0" borderId="0" xfId="0" applyFont="1" applyAlignment="1">
      <alignment horizontal="center" vertical="top" wrapText="1"/>
    </xf>
    <xf numFmtId="0" fontId="0" fillId="0" borderId="0" xfId="0" applyAlignment="1">
      <alignment horizontal="center" vertical="top"/>
    </xf>
    <xf numFmtId="0" fontId="0" fillId="0" borderId="0" xfId="0" applyAlignment="1">
      <alignment horizontal="center" vertical="top" wrapText="1"/>
    </xf>
    <xf numFmtId="3" fontId="0" fillId="0" borderId="0" xfId="0" applyNumberFormat="1" applyAlignment="1">
      <alignment horizontal="center" vertical="top" wrapText="1"/>
    </xf>
    <xf numFmtId="3" fontId="0" fillId="0" borderId="0" xfId="0" applyNumberFormat="1" applyAlignment="1">
      <alignment horizontal="center" vertical="top"/>
    </xf>
    <xf numFmtId="1" fontId="1" fillId="0" borderId="0" xfId="0" applyNumberFormat="1" applyFont="1" applyAlignment="1">
      <alignment horizontal="center" wrapText="1"/>
    </xf>
    <xf numFmtId="1" fontId="0" fillId="0" borderId="0" xfId="0" applyNumberFormat="1" applyAlignment="1">
      <alignment wrapText="1"/>
    </xf>
    <xf numFmtId="9" fontId="1" fillId="0" borderId="0" xfId="0" applyNumberFormat="1" applyFont="1"/>
    <xf numFmtId="165" fontId="1" fillId="0" borderId="0" xfId="0" applyNumberFormat="1" applyFont="1" applyAlignment="1">
      <alignment horizontal="center"/>
    </xf>
    <xf numFmtId="1" fontId="0" fillId="3" borderId="0" xfId="0" applyNumberFormat="1" applyFill="1"/>
    <xf numFmtId="0" fontId="1" fillId="3" borderId="0" xfId="0" applyFont="1" applyFill="1"/>
    <xf numFmtId="165" fontId="0" fillId="3" borderId="0" xfId="0" applyNumberFormat="1" applyFill="1"/>
    <xf numFmtId="0" fontId="0" fillId="3" borderId="0" xfId="0" applyFill="1"/>
    <xf numFmtId="3" fontId="0" fillId="3" borderId="0" xfId="0" applyNumberFormat="1" applyFill="1"/>
    <xf numFmtId="165" fontId="1" fillId="3" borderId="0" xfId="0" applyNumberFormat="1" applyFont="1" applyFill="1" applyAlignment="1">
      <alignment horizontal="center"/>
    </xf>
    <xf numFmtId="167" fontId="0" fillId="3" borderId="0" xfId="0" applyNumberFormat="1" applyFill="1"/>
    <xf numFmtId="9" fontId="0" fillId="3" borderId="0" xfId="0" applyNumberFormat="1" applyFill="1"/>
    <xf numFmtId="3" fontId="1" fillId="3" borderId="0" xfId="0" applyNumberFormat="1" applyFont="1" applyFill="1"/>
    <xf numFmtId="1" fontId="1" fillId="3" borderId="0" xfId="0" applyNumberFormat="1" applyFont="1" applyFill="1"/>
    <xf numFmtId="165" fontId="0" fillId="3" borderId="0" xfId="0" applyNumberFormat="1" applyFill="1" applyAlignment="1">
      <alignment horizontal="center"/>
    </xf>
    <xf numFmtId="10" fontId="0" fillId="3" borderId="0" xfId="0" applyNumberFormat="1" applyFill="1"/>
    <xf numFmtId="0" fontId="12" fillId="0" borderId="0" xfId="0" applyFont="1"/>
    <xf numFmtId="0" fontId="13" fillId="0" borderId="0" xfId="0" applyFont="1"/>
    <xf numFmtId="2" fontId="3" fillId="0" borderId="0" xfId="0" applyNumberFormat="1" applyFont="1"/>
    <xf numFmtId="0" fontId="13" fillId="0" borderId="0" xfId="0" applyFont="1" applyAlignment="1">
      <alignment horizontal="left"/>
    </xf>
    <xf numFmtId="0" fontId="12" fillId="0" borderId="0" xfId="0" applyFont="1" applyAlignment="1">
      <alignment horizontal="left"/>
    </xf>
    <xf numFmtId="0" fontId="13" fillId="0" borderId="0" xfId="0" applyFont="1" applyAlignment="1">
      <alignment horizontal="center"/>
    </xf>
    <xf numFmtId="0" fontId="12" fillId="0" borderId="0" xfId="0" applyFont="1" applyAlignment="1">
      <alignment horizontal="center"/>
    </xf>
    <xf numFmtId="3" fontId="12" fillId="0" borderId="0" xfId="0" applyNumberFormat="1" applyFont="1" applyAlignment="1">
      <alignment horizontal="center"/>
    </xf>
    <xf numFmtId="0" fontId="13" fillId="4" borderId="0" xfId="0" applyFont="1" applyFill="1"/>
    <xf numFmtId="0" fontId="12" fillId="4" borderId="0" xfId="0" applyFont="1" applyFill="1"/>
    <xf numFmtId="169" fontId="2" fillId="0" borderId="0" xfId="0" applyNumberFormat="1" applyFont="1"/>
    <xf numFmtId="0" fontId="3" fillId="0" borderId="0" xfId="0" applyFont="1" applyAlignment="1">
      <alignment horizontal="left"/>
    </xf>
    <xf numFmtId="16" fontId="13" fillId="0" borderId="0" xfId="0" applyNumberFormat="1" applyFont="1" applyAlignment="1">
      <alignment horizontal="center"/>
    </xf>
    <xf numFmtId="0" fontId="13" fillId="0" borderId="0" xfId="0" applyFont="1" applyAlignment="1">
      <alignment horizontal="center" wrapText="1"/>
    </xf>
    <xf numFmtId="1" fontId="13" fillId="0" borderId="0" xfId="0" applyNumberFormat="1" applyFont="1" applyAlignment="1">
      <alignment horizontal="center" wrapText="1"/>
    </xf>
    <xf numFmtId="0" fontId="12" fillId="0" borderId="0" xfId="0" applyFont="1" applyAlignment="1">
      <alignment wrapText="1"/>
    </xf>
    <xf numFmtId="1" fontId="12" fillId="0" borderId="0" xfId="0" applyNumberFormat="1" applyFont="1"/>
    <xf numFmtId="165" fontId="12" fillId="0" borderId="0" xfId="0" applyNumberFormat="1" applyFont="1"/>
    <xf numFmtId="3" fontId="12" fillId="0" borderId="0" xfId="0" applyNumberFormat="1" applyFont="1"/>
    <xf numFmtId="165" fontId="12" fillId="0" borderId="0" xfId="0" applyNumberFormat="1" applyFont="1" applyAlignment="1">
      <alignment horizontal="center"/>
    </xf>
    <xf numFmtId="167" fontId="12" fillId="0" borderId="0" xfId="0" applyNumberFormat="1" applyFont="1"/>
    <xf numFmtId="9" fontId="12" fillId="0" borderId="0" xfId="0" applyNumberFormat="1" applyFont="1"/>
    <xf numFmtId="3" fontId="13" fillId="0" borderId="0" xfId="0" applyNumberFormat="1" applyFont="1"/>
    <xf numFmtId="1" fontId="13" fillId="0" borderId="0" xfId="0" applyNumberFormat="1" applyFont="1"/>
    <xf numFmtId="10" fontId="12" fillId="0" borderId="0" xfId="0" applyNumberFormat="1" applyFont="1"/>
    <xf numFmtId="0" fontId="13" fillId="0" borderId="0" xfId="0" applyFont="1" applyAlignment="1">
      <alignment horizontal="left" vertical="center"/>
    </xf>
    <xf numFmtId="0" fontId="12" fillId="0" borderId="0" xfId="0" applyFont="1" applyAlignment="1">
      <alignment horizontal="left" vertical="center"/>
    </xf>
    <xf numFmtId="0" fontId="14" fillId="0" borderId="0" xfId="0" applyFont="1"/>
    <xf numFmtId="14" fontId="14" fillId="0" borderId="0" xfId="0" applyNumberFormat="1" applyFont="1"/>
    <xf numFmtId="0" fontId="14" fillId="0" borderId="0" xfId="0" applyFont="1" applyAlignment="1">
      <alignment wrapText="1"/>
    </xf>
    <xf numFmtId="9" fontId="14" fillId="0" borderId="0" xfId="0" applyNumberFormat="1" applyFont="1" applyAlignment="1">
      <alignment horizontal="center" wrapText="1"/>
    </xf>
    <xf numFmtId="164" fontId="14" fillId="0" borderId="0" xfId="0" applyNumberFormat="1" applyFont="1" applyAlignment="1">
      <alignment horizontal="center"/>
    </xf>
    <xf numFmtId="0" fontId="14" fillId="0" borderId="0" xfId="0" applyFont="1" applyAlignment="1">
      <alignment horizontal="center"/>
    </xf>
    <xf numFmtId="3" fontId="14" fillId="0" borderId="0" xfId="0" applyNumberFormat="1" applyFont="1"/>
    <xf numFmtId="1" fontId="14" fillId="0" borderId="0" xfId="0" applyNumberFormat="1" applyFont="1" applyAlignment="1">
      <alignment horizontal="center"/>
    </xf>
    <xf numFmtId="1" fontId="14" fillId="3" borderId="0" xfId="0" applyNumberFormat="1" applyFont="1" applyFill="1" applyAlignment="1">
      <alignment horizontal="center"/>
    </xf>
    <xf numFmtId="0" fontId="15" fillId="0" borderId="0" xfId="0" applyFont="1"/>
    <xf numFmtId="1" fontId="14" fillId="0" borderId="0" xfId="0" applyNumberFormat="1" applyFont="1"/>
    <xf numFmtId="1" fontId="15" fillId="0" borderId="0" xfId="0" applyNumberFormat="1" applyFont="1"/>
    <xf numFmtId="0" fontId="14" fillId="3" borderId="0" xfId="0" applyFont="1" applyFill="1"/>
    <xf numFmtId="0" fontId="15" fillId="3" borderId="0" xfId="0" applyFont="1" applyFill="1"/>
    <xf numFmtId="164" fontId="14" fillId="0" borderId="0" xfId="0" applyNumberFormat="1" applyFont="1"/>
    <xf numFmtId="3" fontId="14" fillId="3" borderId="0" xfId="0" applyNumberFormat="1" applyFont="1" applyFill="1"/>
    <xf numFmtId="3" fontId="15" fillId="3" borderId="0" xfId="0" applyNumberFormat="1" applyFont="1" applyFill="1"/>
    <xf numFmtId="170" fontId="0" fillId="0" borderId="0" xfId="0" applyNumberFormat="1"/>
    <xf numFmtId="1" fontId="0" fillId="5" borderId="0" xfId="0" applyNumberFormat="1" applyFill="1"/>
    <xf numFmtId="0" fontId="0" fillId="5" borderId="0" xfId="0" applyFill="1"/>
    <xf numFmtId="0" fontId="1" fillId="5" borderId="0" xfId="0" applyFont="1" applyFill="1"/>
    <xf numFmtId="165" fontId="0" fillId="5" borderId="0" xfId="0" applyNumberFormat="1" applyFill="1"/>
    <xf numFmtId="3" fontId="0" fillId="5" borderId="0" xfId="0" applyNumberFormat="1" applyFill="1"/>
    <xf numFmtId="165" fontId="0" fillId="5" borderId="0" xfId="0" applyNumberFormat="1" applyFill="1" applyAlignment="1">
      <alignment horizontal="center"/>
    </xf>
    <xf numFmtId="165" fontId="1" fillId="5" borderId="0" xfId="0" applyNumberFormat="1" applyFont="1" applyFill="1" applyAlignment="1">
      <alignment horizontal="center"/>
    </xf>
    <xf numFmtId="167" fontId="0" fillId="5" borderId="0" xfId="0" applyNumberFormat="1" applyFill="1"/>
    <xf numFmtId="9" fontId="0" fillId="5" borderId="0" xfId="0" applyNumberFormat="1" applyFill="1"/>
    <xf numFmtId="3" fontId="1" fillId="5" borderId="0" xfId="0" applyNumberFormat="1" applyFont="1" applyFill="1"/>
    <xf numFmtId="1" fontId="1" fillId="5" borderId="0" xfId="0" applyNumberFormat="1" applyFont="1" applyFill="1"/>
    <xf numFmtId="10" fontId="0" fillId="0" borderId="0" xfId="0" applyNumberFormat="1" applyAlignment="1">
      <alignment horizontal="center"/>
    </xf>
    <xf numFmtId="171" fontId="0" fillId="0" borderId="0" xfId="0" applyNumberFormat="1"/>
    <xf numFmtId="0" fontId="0" fillId="0" borderId="0" xfId="0" applyAlignment="1">
      <alignment horizontal="left" vertical="center"/>
    </xf>
    <xf numFmtId="0" fontId="1" fillId="0" borderId="0" xfId="0" applyFont="1" applyAlignment="1">
      <alignment horizontal="left" vertical="center"/>
    </xf>
    <xf numFmtId="0" fontId="0" fillId="0" borderId="0" xfId="0" applyAlignment="1">
      <alignment horizontal="left" vertical="center" indent="1"/>
    </xf>
    <xf numFmtId="3" fontId="0" fillId="0" borderId="0" xfId="0" applyNumberFormat="1" applyAlignment="1">
      <alignment horizontal="right" vertical="center" wrapText="1"/>
    </xf>
    <xf numFmtId="0" fontId="1" fillId="0" borderId="0" xfId="0" applyFont="1" applyAlignment="1">
      <alignment horizontal="right" vertical="center" wrapText="1"/>
    </xf>
    <xf numFmtId="0" fontId="16" fillId="0" borderId="0" xfId="0" applyFont="1"/>
    <xf numFmtId="1" fontId="0" fillId="3" borderId="0" xfId="0" applyNumberFormat="1" applyFill="1" applyAlignment="1">
      <alignment horizontal="center"/>
    </xf>
    <xf numFmtId="3" fontId="0" fillId="3" borderId="0" xfId="0" applyNumberFormat="1" applyFill="1" applyAlignment="1">
      <alignment horizontal="center"/>
    </xf>
    <xf numFmtId="3" fontId="17" fillId="3" borderId="0" xfId="0" applyNumberFormat="1" applyFont="1" applyFill="1"/>
    <xf numFmtId="3" fontId="17" fillId="0" borderId="0" xfId="0" applyNumberFormat="1" applyFont="1"/>
    <xf numFmtId="2" fontId="0" fillId="0" borderId="0" xfId="0" applyNumberFormat="1" applyAlignment="1">
      <alignment horizontal="center" vertical="center"/>
    </xf>
    <xf numFmtId="49" fontId="0" fillId="0" borderId="0" xfId="0" applyNumberFormat="1" applyAlignment="1">
      <alignment horizontal="center" vertical="center"/>
    </xf>
    <xf numFmtId="0" fontId="0" fillId="0" borderId="0" xfId="0" applyAlignment="1">
      <alignment horizontal="center" vertical="center" wrapText="1"/>
    </xf>
    <xf numFmtId="0" fontId="1" fillId="0" borderId="0" xfId="0" applyFont="1" applyAlignment="1">
      <alignment horizontal="center" vertical="center" wrapText="1"/>
    </xf>
    <xf numFmtId="172" fontId="0" fillId="0" borderId="0" xfId="0" applyNumberFormat="1" applyAlignment="1">
      <alignment horizontal="center" vertical="center" wrapText="1"/>
    </xf>
    <xf numFmtId="172" fontId="0" fillId="0" borderId="0" xfId="0" applyNumberFormat="1"/>
    <xf numFmtId="0" fontId="0" fillId="0" borderId="4" xfId="0" applyBorder="1"/>
    <xf numFmtId="172" fontId="0" fillId="0" borderId="4" xfId="0" applyNumberFormat="1" applyBorder="1"/>
    <xf numFmtId="6" fontId="0" fillId="0" borderId="0" xfId="0" applyNumberFormat="1" applyAlignment="1">
      <alignment vertical="center" wrapText="1"/>
    </xf>
    <xf numFmtId="1" fontId="0" fillId="0" borderId="0" xfId="0" applyNumberFormat="1" applyAlignment="1">
      <alignment vertical="center" wrapText="1"/>
    </xf>
    <xf numFmtId="0" fontId="1" fillId="0" borderId="0" xfId="0" applyFont="1" applyAlignment="1">
      <alignment vertical="center" wrapText="1"/>
    </xf>
    <xf numFmtId="3" fontId="0" fillId="0" borderId="0" xfId="0" applyNumberFormat="1" applyAlignment="1">
      <alignment horizontal="center" vertical="center" wrapText="1"/>
    </xf>
    <xf numFmtId="9" fontId="1" fillId="0" borderId="0" xfId="0" applyNumberFormat="1" applyFont="1" applyAlignment="1">
      <alignment vertical="center" wrapText="1"/>
    </xf>
    <xf numFmtId="10" fontId="1" fillId="0" borderId="0" xfId="0" applyNumberFormat="1" applyFont="1" applyAlignment="1">
      <alignment vertical="center" wrapText="1"/>
    </xf>
    <xf numFmtId="2" fontId="0" fillId="0" borderId="0" xfId="0" applyNumberFormat="1" applyAlignment="1">
      <alignment vertical="center" wrapText="1"/>
    </xf>
    <xf numFmtId="0" fontId="0" fillId="0" borderId="0" xfId="0" applyAlignment="1">
      <alignment vertical="top"/>
    </xf>
    <xf numFmtId="6" fontId="0" fillId="0" borderId="0" xfId="0" applyNumberFormat="1" applyAlignment="1">
      <alignment vertical="top"/>
    </xf>
    <xf numFmtId="0" fontId="0" fillId="0" borderId="0" xfId="0" applyAlignment="1">
      <alignment vertical="top" wrapText="1"/>
    </xf>
    <xf numFmtId="0" fontId="1" fillId="0" borderId="6" xfId="0" applyFont="1" applyBorder="1" applyAlignment="1">
      <alignment horizontal="center" vertical="top" wrapText="1"/>
    </xf>
    <xf numFmtId="0" fontId="1" fillId="0" borderId="0" xfId="0" applyFont="1" applyAlignment="1">
      <alignment horizontal="center" vertical="top"/>
    </xf>
    <xf numFmtId="0" fontId="1" fillId="0" borderId="10" xfId="0" applyFont="1" applyBorder="1" applyAlignment="1">
      <alignment horizontal="center" vertical="top" wrapText="1"/>
    </xf>
    <xf numFmtId="0" fontId="1" fillId="0" borderId="11" xfId="0" applyFont="1" applyBorder="1" applyAlignment="1">
      <alignment horizontal="center" vertical="top" wrapText="1"/>
    </xf>
    <xf numFmtId="0" fontId="4" fillId="0" borderId="11" xfId="1" applyBorder="1" applyAlignment="1">
      <alignment horizontal="center" vertical="top" wrapText="1"/>
    </xf>
    <xf numFmtId="0" fontId="0" fillId="6" borderId="12" xfId="0" applyFill="1" applyBorder="1" applyAlignment="1">
      <alignment horizontal="center" vertical="center" wrapText="1"/>
    </xf>
    <xf numFmtId="0" fontId="0" fillId="6" borderId="12" xfId="0" applyFill="1" applyBorder="1" applyAlignment="1">
      <alignment horizontal="right" vertical="center" wrapText="1"/>
    </xf>
    <xf numFmtId="3" fontId="0" fillId="6" borderId="12" xfId="0" applyNumberFormat="1" applyFill="1" applyBorder="1" applyAlignment="1">
      <alignment horizontal="right" vertical="center" wrapText="1"/>
    </xf>
    <xf numFmtId="0" fontId="0" fillId="0" borderId="12" xfId="0" applyBorder="1" applyAlignment="1">
      <alignment horizontal="center" vertical="center" wrapText="1"/>
    </xf>
    <xf numFmtId="0" fontId="0" fillId="0" borderId="12" xfId="0" applyBorder="1" applyAlignment="1">
      <alignment horizontal="right" vertical="center" wrapText="1"/>
    </xf>
    <xf numFmtId="3" fontId="0" fillId="0" borderId="12" xfId="0" applyNumberFormat="1" applyBorder="1" applyAlignment="1">
      <alignment horizontal="right" vertical="center" wrapText="1"/>
    </xf>
    <xf numFmtId="0" fontId="0" fillId="3" borderId="12" xfId="0" applyFill="1" applyBorder="1" applyAlignment="1">
      <alignment horizontal="center" vertical="center" wrapText="1"/>
    </xf>
    <xf numFmtId="3" fontId="0" fillId="3" borderId="12" xfId="0" applyNumberFormat="1" applyFill="1" applyBorder="1" applyAlignment="1">
      <alignment horizontal="right" vertical="center" wrapText="1"/>
    </xf>
    <xf numFmtId="3" fontId="0" fillId="7" borderId="0" xfId="0" applyNumberFormat="1" applyFill="1"/>
    <xf numFmtId="0" fontId="0" fillId="7" borderId="12" xfId="0" applyFill="1" applyBorder="1" applyAlignment="1">
      <alignment horizontal="center" vertical="center" wrapText="1"/>
    </xf>
    <xf numFmtId="3" fontId="0" fillId="7" borderId="12" xfId="0" applyNumberFormat="1" applyFill="1" applyBorder="1" applyAlignment="1">
      <alignment horizontal="right" vertical="center" wrapText="1"/>
    </xf>
    <xf numFmtId="167" fontId="0" fillId="6" borderId="12" xfId="0" applyNumberFormat="1" applyFill="1" applyBorder="1" applyAlignment="1">
      <alignment horizontal="right" vertical="center" wrapText="1"/>
    </xf>
    <xf numFmtId="167" fontId="0" fillId="0" borderId="12" xfId="0" applyNumberFormat="1" applyBorder="1" applyAlignment="1">
      <alignment horizontal="right" vertical="center" wrapText="1"/>
    </xf>
    <xf numFmtId="2" fontId="0" fillId="6" borderId="12" xfId="0" applyNumberFormat="1" applyFill="1" applyBorder="1" applyAlignment="1">
      <alignment horizontal="right" vertical="center" wrapText="1"/>
    </xf>
    <xf numFmtId="2" fontId="0" fillId="0" borderId="12" xfId="0" applyNumberFormat="1" applyBorder="1" applyAlignment="1">
      <alignment horizontal="right" vertical="center" wrapText="1"/>
    </xf>
    <xf numFmtId="4" fontId="0" fillId="0" borderId="0" xfId="0" applyNumberFormat="1"/>
    <xf numFmtId="15" fontId="0" fillId="0" borderId="0" xfId="0" applyNumberFormat="1"/>
    <xf numFmtId="173" fontId="0" fillId="0" borderId="0" xfId="0" applyNumberFormat="1"/>
    <xf numFmtId="172" fontId="0" fillId="0" borderId="0" xfId="0" applyNumberFormat="1" applyAlignment="1">
      <alignment horizontal="right"/>
    </xf>
    <xf numFmtId="173" fontId="0" fillId="0" borderId="0" xfId="0" applyNumberFormat="1" applyAlignment="1">
      <alignment horizontal="right"/>
    </xf>
    <xf numFmtId="3" fontId="0" fillId="0" borderId="0" xfId="0" applyNumberFormat="1" applyAlignment="1">
      <alignment horizontal="right"/>
    </xf>
    <xf numFmtId="0" fontId="4" fillId="0" borderId="0" xfId="1" applyAlignment="1">
      <alignment vertical="center"/>
    </xf>
    <xf numFmtId="0" fontId="14" fillId="0" borderId="0" xfId="0" applyFont="1" applyAlignment="1">
      <alignment horizontal="center" wrapText="1"/>
    </xf>
    <xf numFmtId="2" fontId="14" fillId="0" borderId="0" xfId="0" applyNumberFormat="1" applyFont="1"/>
    <xf numFmtId="14" fontId="15" fillId="0" borderId="0" xfId="0" applyNumberFormat="1" applyFont="1"/>
    <xf numFmtId="174" fontId="0" fillId="0" borderId="0" xfId="0" applyNumberFormat="1"/>
    <xf numFmtId="174" fontId="0" fillId="7" borderId="0" xfId="0" applyNumberFormat="1" applyFill="1"/>
    <xf numFmtId="164" fontId="0" fillId="7" borderId="0" xfId="0" applyNumberFormat="1" applyFill="1" applyAlignment="1">
      <alignment horizontal="center"/>
    </xf>
    <xf numFmtId="1" fontId="0" fillId="7" borderId="0" xfId="0" applyNumberFormat="1" applyFill="1" applyAlignment="1">
      <alignment horizontal="center"/>
    </xf>
    <xf numFmtId="14" fontId="14" fillId="7" borderId="0" xfId="0" applyNumberFormat="1" applyFont="1" applyFill="1"/>
    <xf numFmtId="0" fontId="14" fillId="7" borderId="0" xfId="0" applyFont="1" applyFill="1"/>
    <xf numFmtId="164" fontId="14" fillId="7" borderId="0" xfId="0" applyNumberFormat="1" applyFont="1" applyFill="1"/>
    <xf numFmtId="1" fontId="15" fillId="7" borderId="0" xfId="0" applyNumberFormat="1" applyFont="1" applyFill="1"/>
    <xf numFmtId="3" fontId="21" fillId="0" borderId="0" xfId="0" applyNumberFormat="1" applyFont="1"/>
    <xf numFmtId="3" fontId="0" fillId="0" borderId="0" xfId="0" applyNumberFormat="1" applyAlignment="1">
      <alignment vertical="top"/>
    </xf>
    <xf numFmtId="10" fontId="0" fillId="0" borderId="0" xfId="0" applyNumberFormat="1" applyAlignment="1">
      <alignment vertical="top"/>
    </xf>
    <xf numFmtId="0" fontId="1" fillId="0" borderId="0" xfId="0" applyFont="1" applyAlignment="1">
      <alignment vertical="top"/>
    </xf>
    <xf numFmtId="0" fontId="0" fillId="8" borderId="0" xfId="0" applyFill="1" applyAlignment="1">
      <alignment horizontal="center"/>
    </xf>
    <xf numFmtId="0" fontId="0" fillId="9" borderId="0" xfId="0" applyFill="1" applyAlignment="1">
      <alignment horizontal="center"/>
    </xf>
    <xf numFmtId="0" fontId="0" fillId="10" borderId="0" xfId="0" applyFill="1" applyAlignment="1">
      <alignment horizontal="center"/>
    </xf>
    <xf numFmtId="0" fontId="0" fillId="11" borderId="0" xfId="0" applyFill="1" applyAlignment="1">
      <alignment horizontal="center"/>
    </xf>
    <xf numFmtId="0" fontId="0" fillId="12" borderId="0" xfId="0" applyFill="1" applyAlignment="1">
      <alignment horizontal="center"/>
    </xf>
    <xf numFmtId="0" fontId="0" fillId="3" borderId="0" xfId="0" applyFill="1" applyAlignment="1">
      <alignment horizontal="center"/>
    </xf>
    <xf numFmtId="0" fontId="0" fillId="13" borderId="0" xfId="0" applyFill="1" applyAlignment="1">
      <alignment horizontal="center"/>
    </xf>
    <xf numFmtId="0" fontId="0" fillId="14" borderId="0" xfId="0" applyFill="1" applyAlignment="1">
      <alignment horizontal="center"/>
    </xf>
    <xf numFmtId="0" fontId="0" fillId="15" borderId="0" xfId="0" applyFill="1" applyAlignment="1">
      <alignment horizontal="center"/>
    </xf>
    <xf numFmtId="0" fontId="0" fillId="16" borderId="0" xfId="0" applyFill="1" applyAlignment="1">
      <alignment horizontal="center"/>
    </xf>
    <xf numFmtId="0" fontId="0" fillId="17" borderId="0" xfId="0" applyFill="1" applyAlignment="1">
      <alignment horizontal="center"/>
    </xf>
    <xf numFmtId="0" fontId="0" fillId="7" borderId="0" xfId="0" applyFill="1" applyAlignment="1">
      <alignment horizontal="center"/>
    </xf>
    <xf numFmtId="0" fontId="0" fillId="18" borderId="0" xfId="0" applyFill="1" applyAlignment="1">
      <alignment horizontal="center"/>
    </xf>
    <xf numFmtId="0" fontId="0" fillId="2" borderId="0" xfId="0" applyFill="1" applyAlignment="1">
      <alignment horizontal="center"/>
    </xf>
    <xf numFmtId="0" fontId="0" fillId="19" borderId="0" xfId="0" applyFill="1" applyAlignment="1">
      <alignment horizontal="center"/>
    </xf>
    <xf numFmtId="0" fontId="0" fillId="20" borderId="0" xfId="0" applyFill="1" applyAlignment="1">
      <alignment horizontal="center"/>
    </xf>
    <xf numFmtId="0" fontId="22" fillId="0" borderId="0" xfId="0" applyFont="1"/>
    <xf numFmtId="0" fontId="21" fillId="21" borderId="0" xfId="0" applyFont="1" applyFill="1" applyAlignment="1">
      <alignment horizontal="center"/>
    </xf>
    <xf numFmtId="14" fontId="0" fillId="0" borderId="0" xfId="0" applyNumberFormat="1"/>
    <xf numFmtId="16" fontId="0" fillId="0" borderId="0" xfId="0" applyNumberFormat="1" applyAlignment="1">
      <alignment vertical="center" wrapText="1"/>
    </xf>
    <xf numFmtId="8" fontId="0" fillId="0" borderId="0" xfId="0" applyNumberFormat="1" applyAlignment="1">
      <alignment horizontal="center" vertical="center" wrapText="1"/>
    </xf>
    <xf numFmtId="6" fontId="0" fillId="0" borderId="0" xfId="0" applyNumberFormat="1"/>
    <xf numFmtId="6" fontId="0" fillId="0" borderId="0" xfId="0" applyNumberFormat="1" applyAlignment="1">
      <alignment horizontal="right" vertical="center" wrapText="1"/>
    </xf>
    <xf numFmtId="175" fontId="0" fillId="0" borderId="0" xfId="0" applyNumberFormat="1"/>
    <xf numFmtId="0" fontId="0" fillId="13" borderId="0" xfId="0" applyFill="1"/>
    <xf numFmtId="3" fontId="0" fillId="13" borderId="0" xfId="0" applyNumberFormat="1" applyFill="1"/>
    <xf numFmtId="170" fontId="0" fillId="13" borderId="0" xfId="0" applyNumberFormat="1" applyFill="1"/>
    <xf numFmtId="0" fontId="1" fillId="13" borderId="0" xfId="0" applyFont="1" applyFill="1"/>
    <xf numFmtId="0" fontId="0" fillId="20" borderId="0" xfId="0" applyFill="1"/>
    <xf numFmtId="3" fontId="0" fillId="20" borderId="0" xfId="0" applyNumberFormat="1" applyFill="1"/>
    <xf numFmtId="170" fontId="0" fillId="20" borderId="0" xfId="0" applyNumberFormat="1" applyFill="1"/>
    <xf numFmtId="0" fontId="1" fillId="20" borderId="0" xfId="0" applyFont="1" applyFill="1"/>
    <xf numFmtId="0" fontId="0" fillId="22" borderId="0" xfId="0" applyFill="1"/>
    <xf numFmtId="3" fontId="0" fillId="22" borderId="0" xfId="0" applyNumberFormat="1" applyFill="1"/>
    <xf numFmtId="170" fontId="0" fillId="22" borderId="0" xfId="0" applyNumberFormat="1" applyFill="1"/>
    <xf numFmtId="0" fontId="0" fillId="22" borderId="0" xfId="0" applyFill="1" applyAlignment="1">
      <alignment horizontal="center"/>
    </xf>
    <xf numFmtId="0" fontId="0" fillId="18" borderId="0" xfId="0" applyFill="1"/>
    <xf numFmtId="3" fontId="0" fillId="18" borderId="0" xfId="0" applyNumberFormat="1" applyFill="1"/>
    <xf numFmtId="170" fontId="0" fillId="18" borderId="0" xfId="0" applyNumberFormat="1" applyFill="1"/>
    <xf numFmtId="0" fontId="0" fillId="19" borderId="0" xfId="0" applyFill="1"/>
    <xf numFmtId="3" fontId="14" fillId="7" borderId="0" xfId="0" applyNumberFormat="1" applyFont="1" applyFill="1"/>
    <xf numFmtId="8" fontId="0" fillId="0" borderId="0" xfId="0" applyNumberFormat="1"/>
    <xf numFmtId="3" fontId="6" fillId="0" borderId="0" xfId="0" applyNumberFormat="1" applyFont="1"/>
    <xf numFmtId="8" fontId="6" fillId="0" borderId="0" xfId="0" applyNumberFormat="1" applyFont="1"/>
    <xf numFmtId="173" fontId="6" fillId="0" borderId="0" xfId="0" applyNumberFormat="1" applyFont="1"/>
    <xf numFmtId="172" fontId="6" fillId="0" borderId="0" xfId="0" applyNumberFormat="1" applyFont="1"/>
    <xf numFmtId="176" fontId="0" fillId="0" borderId="0" xfId="0" applyNumberFormat="1"/>
    <xf numFmtId="3" fontId="0" fillId="0" borderId="0" xfId="0" applyNumberFormat="1" applyAlignment="1">
      <alignment wrapText="1"/>
    </xf>
    <xf numFmtId="15" fontId="0" fillId="0" borderId="0" xfId="0" applyNumberFormat="1" applyAlignment="1">
      <alignment vertical="top"/>
    </xf>
    <xf numFmtId="0" fontId="6" fillId="0" borderId="0" xfId="0" applyFont="1"/>
    <xf numFmtId="1" fontId="0" fillId="2" borderId="0" xfId="0" applyNumberFormat="1" applyFill="1"/>
    <xf numFmtId="0" fontId="1" fillId="2" borderId="0" xfId="0" applyFont="1" applyFill="1"/>
    <xf numFmtId="165" fontId="0" fillId="2" borderId="0" xfId="0" applyNumberFormat="1" applyFill="1"/>
    <xf numFmtId="0" fontId="0" fillId="2" borderId="0" xfId="0" applyFill="1"/>
    <xf numFmtId="3" fontId="0" fillId="2" borderId="0" xfId="0" applyNumberFormat="1" applyFill="1"/>
    <xf numFmtId="165" fontId="0" fillId="2" borderId="0" xfId="0" applyNumberFormat="1" applyFill="1" applyAlignment="1">
      <alignment horizontal="center"/>
    </xf>
    <xf numFmtId="165" fontId="1" fillId="2" borderId="0" xfId="0" applyNumberFormat="1" applyFont="1" applyFill="1" applyAlignment="1">
      <alignment horizontal="center"/>
    </xf>
    <xf numFmtId="167" fontId="0" fillId="2" borderId="0" xfId="0" applyNumberFormat="1" applyFill="1"/>
    <xf numFmtId="10" fontId="0" fillId="2" borderId="0" xfId="0" applyNumberFormat="1" applyFill="1"/>
    <xf numFmtId="3" fontId="1" fillId="2" borderId="0" xfId="0" applyNumberFormat="1" applyFont="1" applyFill="1"/>
    <xf numFmtId="1" fontId="1" fillId="2" borderId="0" xfId="0" applyNumberFormat="1" applyFont="1" applyFill="1"/>
    <xf numFmtId="167" fontId="0" fillId="0" borderId="0" xfId="0" applyNumberFormat="1" applyAlignment="1">
      <alignment horizontal="right"/>
    </xf>
    <xf numFmtId="177" fontId="0" fillId="0" borderId="0" xfId="0" applyNumberFormat="1"/>
    <xf numFmtId="1" fontId="0" fillId="0" borderId="18" xfId="0" applyNumberFormat="1" applyBorder="1" applyAlignment="1">
      <alignment horizontal="center"/>
    </xf>
    <xf numFmtId="10" fontId="0" fillId="0" borderId="18" xfId="0" applyNumberFormat="1" applyBorder="1" applyAlignment="1">
      <alignment horizontal="center"/>
    </xf>
    <xf numFmtId="0" fontId="10" fillId="0" borderId="0" xfId="0" applyFont="1" applyAlignment="1">
      <alignment horizontal="center" vertical="center" wrapText="1"/>
    </xf>
    <xf numFmtId="9" fontId="0" fillId="0" borderId="0" xfId="0" applyNumberFormat="1" applyAlignment="1">
      <alignment horizontal="center"/>
    </xf>
    <xf numFmtId="167" fontId="0" fillId="0" borderId="0" xfId="0" applyNumberFormat="1" applyAlignment="1">
      <alignment horizontal="center"/>
    </xf>
    <xf numFmtId="3" fontId="0" fillId="0" borderId="0" xfId="0" applyNumberFormat="1" applyAlignment="1">
      <alignment vertical="center" wrapText="1"/>
    </xf>
    <xf numFmtId="3" fontId="1" fillId="0" borderId="0" xfId="0" applyNumberFormat="1" applyFont="1" applyAlignment="1">
      <alignment horizontal="center"/>
    </xf>
    <xf numFmtId="10" fontId="1" fillId="0" borderId="0" xfId="0" applyNumberFormat="1" applyFont="1" applyAlignment="1">
      <alignment horizontal="center"/>
    </xf>
    <xf numFmtId="12" fontId="22" fillId="0" borderId="0" xfId="0" applyNumberFormat="1" applyFont="1"/>
    <xf numFmtId="3" fontId="22" fillId="0" borderId="0" xfId="0" applyNumberFormat="1" applyFont="1"/>
    <xf numFmtId="1" fontId="22" fillId="0" borderId="0" xfId="0" applyNumberFormat="1" applyFont="1"/>
    <xf numFmtId="9" fontId="22" fillId="0" borderId="0" xfId="0" applyNumberFormat="1" applyFont="1"/>
    <xf numFmtId="0" fontId="25" fillId="0" borderId="0" xfId="0" applyFont="1"/>
    <xf numFmtId="10" fontId="22" fillId="0" borderId="0" xfId="0" applyNumberFormat="1" applyFont="1"/>
    <xf numFmtId="0" fontId="24" fillId="0" borderId="0" xfId="0" applyFont="1" applyAlignment="1">
      <alignment horizontal="center" vertical="top" wrapText="1"/>
    </xf>
    <xf numFmtId="0" fontId="22" fillId="0" borderId="0" xfId="0" applyFont="1" applyAlignment="1">
      <alignment vertical="top"/>
    </xf>
    <xf numFmtId="0" fontId="22" fillId="0" borderId="0" xfId="0" applyFont="1" applyAlignment="1">
      <alignment horizontal="center" vertical="top"/>
    </xf>
    <xf numFmtId="0" fontId="24" fillId="0" borderId="0" xfId="0" applyFont="1" applyAlignment="1">
      <alignment horizontal="center" vertical="top"/>
    </xf>
    <xf numFmtId="0" fontId="22" fillId="0" borderId="0" xfId="0" applyFont="1" applyAlignment="1">
      <alignment horizontal="right" vertical="top"/>
    </xf>
    <xf numFmtId="0" fontId="22" fillId="0" borderId="0" xfId="0" applyFont="1" applyAlignment="1">
      <alignment horizontal="right" vertical="top" wrapText="1"/>
    </xf>
    <xf numFmtId="0" fontId="22" fillId="0" borderId="0" xfId="0" applyFont="1" applyAlignment="1">
      <alignment horizontal="left" vertical="top"/>
    </xf>
    <xf numFmtId="42" fontId="22" fillId="0" borderId="0" xfId="0" applyNumberFormat="1" applyFont="1" applyAlignment="1">
      <alignment horizontal="center" vertical="top"/>
    </xf>
    <xf numFmtId="42" fontId="22" fillId="0" borderId="0" xfId="0" applyNumberFormat="1" applyFont="1" applyAlignment="1">
      <alignment vertical="top"/>
    </xf>
    <xf numFmtId="164" fontId="22" fillId="0" borderId="0" xfId="0" applyNumberFormat="1" applyFont="1" applyAlignment="1">
      <alignment horizontal="right" vertical="top"/>
    </xf>
    <xf numFmtId="0" fontId="24" fillId="0" borderId="0" xfId="0" applyFont="1"/>
    <xf numFmtId="0" fontId="22" fillId="0" borderId="18" xfId="0" applyFont="1" applyBorder="1"/>
    <xf numFmtId="0" fontId="24" fillId="0" borderId="0" xfId="0" applyFont="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0" fontId="24" fillId="0" borderId="0" xfId="0" applyFont="1" applyAlignment="1">
      <alignment vertical="center" wrapText="1"/>
    </xf>
    <xf numFmtId="2" fontId="22" fillId="0" borderId="0" xfId="0" applyNumberFormat="1" applyFont="1"/>
    <xf numFmtId="3" fontId="0" fillId="0" borderId="0" xfId="0" applyNumberFormat="1" applyAlignment="1">
      <alignment horizontal="center" wrapText="1"/>
    </xf>
    <xf numFmtId="3" fontId="17" fillId="23" borderId="0" xfId="0" applyNumberFormat="1" applyFont="1" applyFill="1"/>
    <xf numFmtId="3" fontId="0" fillId="23" borderId="0" xfId="0" applyNumberFormat="1" applyFill="1"/>
    <xf numFmtId="3" fontId="1" fillId="23" borderId="0" xfId="0" applyNumberFormat="1" applyFont="1" applyFill="1" applyAlignment="1">
      <alignment horizontal="center"/>
    </xf>
    <xf numFmtId="174" fontId="0" fillId="23" borderId="0" xfId="0" applyNumberFormat="1" applyFill="1"/>
    <xf numFmtId="164" fontId="0" fillId="23" borderId="0" xfId="0" applyNumberFormat="1" applyFill="1" applyAlignment="1">
      <alignment horizontal="center"/>
    </xf>
    <xf numFmtId="1" fontId="0" fillId="23" borderId="0" xfId="0" applyNumberFormat="1" applyFill="1" applyAlignment="1">
      <alignment horizontal="center"/>
    </xf>
    <xf numFmtId="3" fontId="0" fillId="23" borderId="0" xfId="0" applyNumberFormat="1" applyFill="1" applyAlignment="1">
      <alignment horizontal="center"/>
    </xf>
    <xf numFmtId="10" fontId="0" fillId="23" borderId="0" xfId="0" applyNumberFormat="1" applyFill="1" applyAlignment="1">
      <alignment horizontal="center"/>
    </xf>
    <xf numFmtId="10" fontId="1" fillId="23" borderId="0" xfId="0" applyNumberFormat="1" applyFont="1" applyFill="1" applyAlignment="1">
      <alignment horizontal="center"/>
    </xf>
    <xf numFmtId="0" fontId="0" fillId="23" borderId="0" xfId="0" applyFill="1"/>
    <xf numFmtId="178" fontId="0" fillId="0" borderId="0" xfId="0" applyNumberFormat="1" applyAlignment="1">
      <alignment horizontal="center"/>
    </xf>
    <xf numFmtId="178" fontId="0" fillId="0" borderId="0" xfId="0" applyNumberFormat="1"/>
    <xf numFmtId="3" fontId="0" fillId="0" borderId="0" xfId="0" applyNumberFormat="1" applyAlignment="1">
      <alignment horizontal="right" vertical="top"/>
    </xf>
    <xf numFmtId="178" fontId="0" fillId="0" borderId="0" xfId="0" applyNumberFormat="1" applyAlignment="1">
      <alignment horizontal="right" vertical="top"/>
    </xf>
    <xf numFmtId="179" fontId="0" fillId="0" borderId="0" xfId="0" applyNumberFormat="1" applyAlignment="1">
      <alignment vertical="top"/>
    </xf>
    <xf numFmtId="179" fontId="0" fillId="0" borderId="0" xfId="0" applyNumberFormat="1" applyAlignment="1">
      <alignment horizontal="right" vertical="top"/>
    </xf>
    <xf numFmtId="49" fontId="0" fillId="0" borderId="0" xfId="0" applyNumberFormat="1" applyAlignment="1">
      <alignment wrapText="1"/>
    </xf>
    <xf numFmtId="49" fontId="1" fillId="0" borderId="0" xfId="0" applyNumberFormat="1" applyFont="1" applyAlignment="1">
      <alignment wrapText="1"/>
    </xf>
    <xf numFmtId="0" fontId="7" fillId="0" borderId="0" xfId="0" applyFont="1" applyAlignment="1">
      <alignment horizontal="center" vertical="center"/>
    </xf>
    <xf numFmtId="0" fontId="7" fillId="0" borderId="0" xfId="0" applyFont="1" applyAlignment="1">
      <alignment horizontal="left" vertical="center"/>
    </xf>
    <xf numFmtId="2" fontId="6" fillId="0" borderId="0" xfId="0" applyNumberFormat="1" applyFont="1"/>
    <xf numFmtId="172" fontId="1" fillId="0" borderId="0" xfId="0" applyNumberFormat="1" applyFont="1"/>
    <xf numFmtId="3" fontId="0" fillId="4" borderId="0" xfId="0" applyNumberFormat="1" applyFill="1"/>
    <xf numFmtId="0" fontId="1" fillId="0" borderId="0" xfId="0" applyFont="1" applyAlignment="1">
      <alignment horizontal="right"/>
    </xf>
    <xf numFmtId="0" fontId="17" fillId="0" borderId="0" xfId="0" applyFont="1"/>
    <xf numFmtId="10" fontId="17" fillId="0" borderId="0" xfId="0" applyNumberFormat="1" applyFont="1"/>
    <xf numFmtId="0" fontId="0" fillId="0" borderId="18" xfId="0" applyBorder="1"/>
    <xf numFmtId="2" fontId="0" fillId="0" borderId="18" xfId="0" applyNumberFormat="1" applyBorder="1"/>
    <xf numFmtId="3" fontId="1" fillId="23" borderId="0" xfId="0" applyNumberFormat="1" applyFont="1" applyFill="1"/>
    <xf numFmtId="180" fontId="0" fillId="0" borderId="0" xfId="0" applyNumberFormat="1"/>
    <xf numFmtId="1" fontId="1" fillId="0" borderId="0" xfId="0" applyNumberFormat="1" applyFont="1" applyAlignment="1">
      <alignment wrapText="1"/>
    </xf>
    <xf numFmtId="165" fontId="1" fillId="0" borderId="0" xfId="0" applyNumberFormat="1" applyFont="1" applyAlignment="1">
      <alignment horizontal="left"/>
    </xf>
    <xf numFmtId="165" fontId="1" fillId="0" borderId="0" xfId="0" applyNumberFormat="1" applyFont="1"/>
    <xf numFmtId="0" fontId="26" fillId="0" borderId="0" xfId="0" applyFont="1" applyAlignment="1">
      <alignment horizontal="center" vertical="center" wrapText="1" readingOrder="1"/>
    </xf>
    <xf numFmtId="0" fontId="11" fillId="0" borderId="0" xfId="0" applyFont="1" applyAlignment="1">
      <alignment horizontal="center" vertical="center" wrapText="1" readingOrder="1"/>
    </xf>
    <xf numFmtId="9" fontId="11" fillId="0" borderId="0" xfId="0" applyNumberFormat="1" applyFont="1" applyAlignment="1">
      <alignment horizontal="center" vertical="center" wrapText="1" readingOrder="1"/>
    </xf>
    <xf numFmtId="9" fontId="11" fillId="0" borderId="0" xfId="0" applyNumberFormat="1" applyFont="1" applyAlignment="1">
      <alignment horizontal="center" wrapText="1" readingOrder="1"/>
    </xf>
    <xf numFmtId="10" fontId="11" fillId="0" borderId="0" xfId="0" applyNumberFormat="1" applyFont="1" applyAlignment="1">
      <alignment horizontal="center" wrapText="1" readingOrder="1"/>
    </xf>
    <xf numFmtId="0" fontId="11" fillId="0" borderId="0" xfId="0" applyFont="1" applyAlignment="1">
      <alignment horizontal="center" wrapText="1" readingOrder="1"/>
    </xf>
    <xf numFmtId="174" fontId="0" fillId="0" borderId="0" xfId="0" applyNumberFormat="1" applyFill="1"/>
    <xf numFmtId="3" fontId="17" fillId="0" borderId="0" xfId="0" applyNumberFormat="1" applyFont="1" applyFill="1"/>
    <xf numFmtId="1" fontId="0" fillId="0" borderId="0" xfId="0" applyNumberFormat="1" applyFill="1" applyAlignment="1">
      <alignment horizontal="center"/>
    </xf>
    <xf numFmtId="3" fontId="0" fillId="0" borderId="0" xfId="0" applyNumberFormat="1" applyFill="1" applyAlignment="1">
      <alignment horizontal="center"/>
    </xf>
    <xf numFmtId="10" fontId="0" fillId="0" borderId="0" xfId="0" applyNumberFormat="1" applyFill="1" applyAlignment="1">
      <alignment horizontal="center"/>
    </xf>
    <xf numFmtId="10" fontId="1" fillId="0" borderId="0" xfId="0" applyNumberFormat="1" applyFont="1" applyFill="1" applyAlignment="1">
      <alignment horizontal="center"/>
    </xf>
    <xf numFmtId="9" fontId="0" fillId="0" borderId="0" xfId="0" applyNumberFormat="1" applyFill="1" applyAlignment="1">
      <alignment horizontal="center"/>
    </xf>
    <xf numFmtId="0" fontId="0" fillId="0" borderId="0" xfId="0" applyFill="1"/>
    <xf numFmtId="0" fontId="1" fillId="0" borderId="0" xfId="0" applyFont="1" applyAlignment="1">
      <alignment vertical="center"/>
    </xf>
    <xf numFmtId="0" fontId="23" fillId="0" borderId="0" xfId="0" applyFont="1" applyAlignment="1">
      <alignment horizontal="center" vertical="center" wrapText="1"/>
    </xf>
    <xf numFmtId="0" fontId="1" fillId="0" borderId="5" xfId="0" applyFont="1" applyBorder="1" applyAlignment="1">
      <alignment horizontal="center" vertical="center"/>
    </xf>
    <xf numFmtId="0" fontId="0" fillId="0" borderId="5" xfId="0" applyBorder="1"/>
    <xf numFmtId="0" fontId="1" fillId="0" borderId="7" xfId="0" applyFont="1" applyBorder="1" applyAlignment="1">
      <alignment horizontal="center" vertical="top" wrapText="1"/>
    </xf>
    <xf numFmtId="0" fontId="1" fillId="0" borderId="8" xfId="0" applyFont="1" applyBorder="1" applyAlignment="1">
      <alignment horizontal="center" vertical="top" wrapText="1"/>
    </xf>
    <xf numFmtId="0" fontId="1" fillId="0" borderId="9" xfId="0" applyFont="1" applyBorder="1" applyAlignment="1">
      <alignment horizontal="center" vertical="top"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19" fillId="0" borderId="16" xfId="0" applyFont="1" applyBorder="1" applyAlignment="1">
      <alignment horizontal="left" vertical="center" wrapText="1"/>
    </xf>
    <xf numFmtId="0" fontId="19" fillId="0" borderId="0" xfId="0" applyFont="1" applyAlignment="1">
      <alignment horizontal="left" vertical="center" wrapText="1"/>
    </xf>
    <xf numFmtId="0" fontId="19" fillId="0" borderId="17" xfId="0" applyFont="1" applyBorder="1" applyAlignment="1">
      <alignment horizontal="left" vertical="center" wrapText="1"/>
    </xf>
    <xf numFmtId="0" fontId="1" fillId="0" borderId="0" xfId="0" applyFont="1" applyAlignment="1">
      <alignment horizontal="center" vertical="top" wrapText="1"/>
    </xf>
    <xf numFmtId="0" fontId="3" fillId="0" borderId="1" xfId="0" applyFont="1" applyBorder="1" applyAlignment="1">
      <alignment vertical="center" wrapText="1"/>
    </xf>
    <xf numFmtId="0" fontId="3" fillId="0" borderId="2" xfId="0" applyFont="1" applyBorder="1" applyAlignment="1">
      <alignment vertical="center"/>
    </xf>
    <xf numFmtId="0" fontId="3" fillId="0" borderId="3" xfId="0" applyFont="1" applyBorder="1" applyAlignment="1">
      <alignment vertical="center"/>
    </xf>
    <xf numFmtId="0" fontId="3" fillId="0" borderId="1" xfId="0" applyFont="1" applyBorder="1" applyAlignment="1">
      <alignment vertical="center"/>
    </xf>
    <xf numFmtId="0" fontId="0" fillId="0" borderId="0" xfId="0" applyAlignment="1">
      <alignment vertical="center"/>
    </xf>
    <xf numFmtId="0" fontId="1" fillId="0" borderId="0" xfId="0" applyFont="1" applyAlignment="1">
      <alignment horizontal="left" vertical="top"/>
    </xf>
    <xf numFmtId="0" fontId="0" fillId="0" borderId="0" xfId="0" applyAlignment="1">
      <alignment horizontal="left" vertical="top"/>
    </xf>
    <xf numFmtId="0" fontId="1" fillId="0" borderId="0" xfId="0" applyFont="1" applyAlignment="1">
      <alignment horizontal="center" vertical="center"/>
    </xf>
    <xf numFmtId="0" fontId="1" fillId="0" borderId="0" xfId="0" applyFont="1" applyAlignment="1">
      <alignment vertical="center" wrapText="1"/>
    </xf>
    <xf numFmtId="0" fontId="0" fillId="0" borderId="0" xfId="0" applyAlignment="1">
      <alignment horizontal="center"/>
    </xf>
    <xf numFmtId="3" fontId="0" fillId="0" borderId="0" xfId="0" applyNumberFormat="1" applyFill="1"/>
    <xf numFmtId="164" fontId="0" fillId="0" borderId="0" xfId="0" applyNumberFormat="1" applyFill="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FF9797"/>
      <color rgb="FFFF6699"/>
      <color rgb="FFFFD597"/>
      <color rgb="FFFFFF99"/>
      <color rgb="FFFFFF6D"/>
      <color rgb="FFFF6464"/>
      <color rgb="FFD5B8EA"/>
      <color rgb="FFB07BD7"/>
      <color rgb="FFFFB84F"/>
      <color rgb="FFFFE3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a:t>Death Rates</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CDC</c:v>
          </c:tx>
          <c:spPr>
            <a:ln w="15875" cap="rnd">
              <a:solidFill>
                <a:schemeClr val="tx1"/>
              </a:solidFill>
              <a:prstDash val="dash"/>
              <a:round/>
            </a:ln>
            <a:effectLst/>
          </c:spPr>
          <c:marker>
            <c:symbol val="none"/>
          </c:marker>
          <c:trendline>
            <c:spPr>
              <a:ln w="12700" cap="rnd">
                <a:solidFill>
                  <a:srgbClr val="FF0000"/>
                </a:solidFill>
                <a:prstDash val="lgDash"/>
              </a:ln>
              <a:effectLst/>
            </c:spPr>
            <c:trendlineType val="linear"/>
            <c:forward val="16"/>
            <c:dispRSqr val="0"/>
            <c:dispEq val="0"/>
          </c:trendline>
          <c:cat>
            <c:numRef>
              <c:f>'death rates'!$A$10:$A$36</c:f>
              <c:numCache>
                <c:formatCode>mm/dd/yy;@</c:formatCode>
                <c:ptCount val="27"/>
                <c:pt idx="0">
                  <c:v>43922</c:v>
                </c:pt>
                <c:pt idx="1">
                  <c:v>43952</c:v>
                </c:pt>
                <c:pt idx="2">
                  <c:v>43983</c:v>
                </c:pt>
                <c:pt idx="3">
                  <c:v>43992</c:v>
                </c:pt>
                <c:pt idx="4">
                  <c:v>44013</c:v>
                </c:pt>
                <c:pt idx="5">
                  <c:v>44044</c:v>
                </c:pt>
                <c:pt idx="6">
                  <c:v>44075</c:v>
                </c:pt>
                <c:pt idx="7">
                  <c:v>44105</c:v>
                </c:pt>
                <c:pt idx="8">
                  <c:v>44136</c:v>
                </c:pt>
                <c:pt idx="9">
                  <c:v>44166</c:v>
                </c:pt>
                <c:pt idx="10">
                  <c:v>44175</c:v>
                </c:pt>
                <c:pt idx="11">
                  <c:v>44197</c:v>
                </c:pt>
                <c:pt idx="12">
                  <c:v>44228</c:v>
                </c:pt>
                <c:pt idx="13">
                  <c:v>44256</c:v>
                </c:pt>
                <c:pt idx="14">
                  <c:v>44287</c:v>
                </c:pt>
                <c:pt idx="15">
                  <c:v>44317</c:v>
                </c:pt>
                <c:pt idx="16">
                  <c:v>44348</c:v>
                </c:pt>
                <c:pt idx="17">
                  <c:v>44378</c:v>
                </c:pt>
                <c:pt idx="18">
                  <c:v>44409</c:v>
                </c:pt>
                <c:pt idx="19">
                  <c:v>44440</c:v>
                </c:pt>
                <c:pt idx="20">
                  <c:v>44470</c:v>
                </c:pt>
                <c:pt idx="21">
                  <c:v>44501</c:v>
                </c:pt>
                <c:pt idx="22">
                  <c:v>44531</c:v>
                </c:pt>
                <c:pt idx="23">
                  <c:v>44562</c:v>
                </c:pt>
                <c:pt idx="24">
                  <c:v>44593</c:v>
                </c:pt>
                <c:pt idx="25">
                  <c:v>44621</c:v>
                </c:pt>
                <c:pt idx="26">
                  <c:v>44652</c:v>
                </c:pt>
              </c:numCache>
            </c:numRef>
          </c:cat>
          <c:val>
            <c:numRef>
              <c:f>'death rates'!$D$11:$D$17</c:f>
              <c:numCache>
                <c:formatCode>#,##0</c:formatCode>
                <c:ptCount val="7"/>
                <c:pt idx="0">
                  <c:v>62406</c:v>
                </c:pt>
                <c:pt idx="1">
                  <c:v>103700</c:v>
                </c:pt>
                <c:pt idx="2">
                  <c:v>110925</c:v>
                </c:pt>
                <c:pt idx="3">
                  <c:v>126739</c:v>
                </c:pt>
                <c:pt idx="4">
                  <c:v>151499</c:v>
                </c:pt>
                <c:pt idx="5">
                  <c:v>183050</c:v>
                </c:pt>
                <c:pt idx="6">
                  <c:v>206402</c:v>
                </c:pt>
              </c:numCache>
            </c:numRef>
          </c:val>
          <c:smooth val="0"/>
          <c:extLst>
            <c:ext xmlns:c16="http://schemas.microsoft.com/office/drawing/2014/chart" uri="{C3380CC4-5D6E-409C-BE32-E72D297353CC}">
              <c16:uniqueId val="{00000000-226B-4373-97C1-10C7A92E7935}"/>
            </c:ext>
          </c:extLst>
        </c:ser>
        <c:ser>
          <c:idx val="1"/>
          <c:order val="1"/>
          <c:tx>
            <c:v>JHU</c:v>
          </c:tx>
          <c:spPr>
            <a:ln w="34925" cap="rnd">
              <a:solidFill>
                <a:schemeClr val="tx1"/>
              </a:solidFill>
              <a:prstDash val="sysDot"/>
              <a:round/>
            </a:ln>
            <a:effectLst/>
          </c:spPr>
          <c:marker>
            <c:symbol val="none"/>
          </c:marker>
          <c:trendline>
            <c:spPr>
              <a:ln w="12700" cap="rnd">
                <a:solidFill>
                  <a:srgbClr val="FF0000"/>
                </a:solidFill>
                <a:prstDash val="sysDash"/>
              </a:ln>
              <a:effectLst/>
            </c:spPr>
            <c:trendlineType val="linear"/>
            <c:forward val="16"/>
            <c:dispRSqr val="0"/>
            <c:dispEq val="0"/>
          </c:trendline>
          <c:trendline>
            <c:spPr>
              <a:ln w="19050" cap="rnd">
                <a:solidFill>
                  <a:schemeClr val="accent2"/>
                </a:solidFill>
                <a:prstDash val="sysDot"/>
              </a:ln>
              <a:effectLst/>
            </c:spPr>
            <c:trendlineType val="linear"/>
            <c:dispRSqr val="0"/>
            <c:dispEq val="0"/>
          </c:trendline>
          <c:cat>
            <c:numRef>
              <c:f>'death rates'!$A$10:$A$36</c:f>
              <c:numCache>
                <c:formatCode>mm/dd/yy;@</c:formatCode>
                <c:ptCount val="27"/>
                <c:pt idx="0">
                  <c:v>43922</c:v>
                </c:pt>
                <c:pt idx="1">
                  <c:v>43952</c:v>
                </c:pt>
                <c:pt idx="2">
                  <c:v>43983</c:v>
                </c:pt>
                <c:pt idx="3">
                  <c:v>43992</c:v>
                </c:pt>
                <c:pt idx="4">
                  <c:v>44013</c:v>
                </c:pt>
                <c:pt idx="5">
                  <c:v>44044</c:v>
                </c:pt>
                <c:pt idx="6">
                  <c:v>44075</c:v>
                </c:pt>
                <c:pt idx="7">
                  <c:v>44105</c:v>
                </c:pt>
                <c:pt idx="8">
                  <c:v>44136</c:v>
                </c:pt>
                <c:pt idx="9">
                  <c:v>44166</c:v>
                </c:pt>
                <c:pt idx="10">
                  <c:v>44175</c:v>
                </c:pt>
                <c:pt idx="11">
                  <c:v>44197</c:v>
                </c:pt>
                <c:pt idx="12">
                  <c:v>44228</c:v>
                </c:pt>
                <c:pt idx="13">
                  <c:v>44256</c:v>
                </c:pt>
                <c:pt idx="14">
                  <c:v>44287</c:v>
                </c:pt>
                <c:pt idx="15">
                  <c:v>44317</c:v>
                </c:pt>
                <c:pt idx="16">
                  <c:v>44348</c:v>
                </c:pt>
                <c:pt idx="17">
                  <c:v>44378</c:v>
                </c:pt>
                <c:pt idx="18">
                  <c:v>44409</c:v>
                </c:pt>
                <c:pt idx="19">
                  <c:v>44440</c:v>
                </c:pt>
                <c:pt idx="20">
                  <c:v>44470</c:v>
                </c:pt>
                <c:pt idx="21">
                  <c:v>44501</c:v>
                </c:pt>
                <c:pt idx="22">
                  <c:v>44531</c:v>
                </c:pt>
                <c:pt idx="23">
                  <c:v>44562</c:v>
                </c:pt>
                <c:pt idx="24">
                  <c:v>44593</c:v>
                </c:pt>
                <c:pt idx="25">
                  <c:v>44621</c:v>
                </c:pt>
                <c:pt idx="26">
                  <c:v>44652</c:v>
                </c:pt>
              </c:numCache>
            </c:numRef>
          </c:cat>
          <c:val>
            <c:numRef>
              <c:f>'death rates'!$D$51:$D$57</c:f>
              <c:numCache>
                <c:formatCode>General</c:formatCode>
                <c:ptCount val="7"/>
                <c:pt idx="2" formatCode="#,##0">
                  <c:v>112006</c:v>
                </c:pt>
                <c:pt idx="3" formatCode="#,##0">
                  <c:v>127485</c:v>
                </c:pt>
                <c:pt idx="4" formatCode="#,##0">
                  <c:v>153320</c:v>
                </c:pt>
                <c:pt idx="5" formatCode="#,##0">
                  <c:v>184450</c:v>
                </c:pt>
                <c:pt idx="6" formatCode="#,##0">
                  <c:v>207605</c:v>
                </c:pt>
              </c:numCache>
            </c:numRef>
          </c:val>
          <c:smooth val="0"/>
          <c:extLst>
            <c:ext xmlns:c16="http://schemas.microsoft.com/office/drawing/2014/chart" uri="{C3380CC4-5D6E-409C-BE32-E72D297353CC}">
              <c16:uniqueId val="{00000003-226B-4373-97C1-10C7A92E7935}"/>
            </c:ext>
          </c:extLst>
        </c:ser>
        <c:dLbls>
          <c:showLegendKey val="0"/>
          <c:showVal val="0"/>
          <c:showCatName val="0"/>
          <c:showSerName val="0"/>
          <c:showPercent val="0"/>
          <c:showBubbleSize val="0"/>
        </c:dLbls>
        <c:smooth val="0"/>
        <c:axId val="250354536"/>
        <c:axId val="332334272"/>
      </c:lineChart>
      <c:dateAx>
        <c:axId val="250354536"/>
        <c:scaling>
          <c:orientation val="minMax"/>
          <c:max val="44562"/>
        </c:scaling>
        <c:delete val="0"/>
        <c:axPos val="b"/>
        <c:numFmt formatCode="mm/dd/yy;@"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32334272"/>
        <c:crosses val="autoZero"/>
        <c:auto val="1"/>
        <c:lblOffset val="100"/>
        <c:baseTimeUnit val="months"/>
      </c:dateAx>
      <c:valAx>
        <c:axId val="332334272"/>
        <c:scaling>
          <c:orientation val="minMax"/>
          <c:max val="1000000"/>
          <c:min val="0"/>
        </c:scaling>
        <c:delete val="0"/>
        <c:axPos val="l"/>
        <c:majorGridlines>
          <c:spPr>
            <a:ln w="12700" cap="flat" cmpd="sng" algn="ctr">
              <a:solidFill>
                <a:schemeClr val="tx1"/>
              </a:solidFill>
              <a:prstDash val="sysDot"/>
              <a:round/>
            </a:ln>
            <a:effectLst/>
          </c:spPr>
        </c:majorGridlines>
        <c:numFmt formatCode="#,##0" sourceLinked="1"/>
        <c:majorTickMark val="cross"/>
        <c:minorTickMark val="out"/>
        <c:tickLblPos val="nextTo"/>
        <c:spPr>
          <a:noFill/>
          <a:ln w="1270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50354536"/>
        <c:crossesAt val="43922"/>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D per 1000</c:v>
          </c:tx>
          <c:spPr>
            <a:ln w="12700" cap="rnd">
              <a:solidFill>
                <a:schemeClr val="tx1"/>
              </a:solidFill>
              <a:round/>
            </a:ln>
            <a:effectLst/>
          </c:spPr>
          <c:marker>
            <c:symbol val="none"/>
          </c:marker>
          <c:cat>
            <c:numRef>
              <c:f>'2020-1'!$A$2:$A$42</c:f>
              <c:numCache>
                <c:formatCode>m/d/yyyy</c:formatCode>
                <c:ptCount val="41"/>
                <c:pt idx="0">
                  <c:v>6755</c:v>
                </c:pt>
                <c:pt idx="1">
                  <c:v>6762</c:v>
                </c:pt>
                <c:pt idx="2">
                  <c:v>6769</c:v>
                </c:pt>
                <c:pt idx="3">
                  <c:v>6776</c:v>
                </c:pt>
                <c:pt idx="4">
                  <c:v>6783</c:v>
                </c:pt>
                <c:pt idx="5">
                  <c:v>6790</c:v>
                </c:pt>
                <c:pt idx="6">
                  <c:v>6797</c:v>
                </c:pt>
                <c:pt idx="7">
                  <c:v>6804</c:v>
                </c:pt>
                <c:pt idx="8">
                  <c:v>6811</c:v>
                </c:pt>
                <c:pt idx="9">
                  <c:v>6818</c:v>
                </c:pt>
                <c:pt idx="10">
                  <c:v>6825</c:v>
                </c:pt>
                <c:pt idx="11">
                  <c:v>6832</c:v>
                </c:pt>
                <c:pt idx="12">
                  <c:v>6839</c:v>
                </c:pt>
                <c:pt idx="13">
                  <c:v>6846</c:v>
                </c:pt>
                <c:pt idx="14">
                  <c:v>6853</c:v>
                </c:pt>
                <c:pt idx="15">
                  <c:v>6860</c:v>
                </c:pt>
                <c:pt idx="16">
                  <c:v>6867</c:v>
                </c:pt>
                <c:pt idx="17">
                  <c:v>6874</c:v>
                </c:pt>
                <c:pt idx="18">
                  <c:v>6881</c:v>
                </c:pt>
                <c:pt idx="19">
                  <c:v>6888</c:v>
                </c:pt>
                <c:pt idx="20">
                  <c:v>6895</c:v>
                </c:pt>
                <c:pt idx="21">
                  <c:v>6902</c:v>
                </c:pt>
                <c:pt idx="22">
                  <c:v>6909</c:v>
                </c:pt>
                <c:pt idx="23">
                  <c:v>6916</c:v>
                </c:pt>
                <c:pt idx="24">
                  <c:v>6923</c:v>
                </c:pt>
                <c:pt idx="25">
                  <c:v>6930</c:v>
                </c:pt>
                <c:pt idx="26">
                  <c:v>6937</c:v>
                </c:pt>
                <c:pt idx="27">
                  <c:v>6944</c:v>
                </c:pt>
                <c:pt idx="28">
                  <c:v>6951</c:v>
                </c:pt>
                <c:pt idx="29">
                  <c:v>6958</c:v>
                </c:pt>
                <c:pt idx="30">
                  <c:v>6965</c:v>
                </c:pt>
                <c:pt idx="31">
                  <c:v>6972</c:v>
                </c:pt>
                <c:pt idx="32">
                  <c:v>6979</c:v>
                </c:pt>
                <c:pt idx="33">
                  <c:v>6986</c:v>
                </c:pt>
                <c:pt idx="34">
                  <c:v>6993</c:v>
                </c:pt>
                <c:pt idx="35">
                  <c:v>7000</c:v>
                </c:pt>
                <c:pt idx="36">
                  <c:v>7007</c:v>
                </c:pt>
                <c:pt idx="37">
                  <c:v>7014</c:v>
                </c:pt>
                <c:pt idx="38">
                  <c:v>7021</c:v>
                </c:pt>
                <c:pt idx="39">
                  <c:v>7028</c:v>
                </c:pt>
                <c:pt idx="40">
                  <c:v>7035</c:v>
                </c:pt>
              </c:numCache>
            </c:numRef>
          </c:cat>
          <c:val>
            <c:numRef>
              <c:f>'2020-1'!$B$2:$B$45</c:f>
              <c:numCache>
                <c:formatCode>General</c:formatCode>
                <c:ptCount val="44"/>
                <c:pt idx="0">
                  <c:v>0</c:v>
                </c:pt>
                <c:pt idx="1">
                  <c:v>4</c:v>
                </c:pt>
                <c:pt idx="2">
                  <c:v>5</c:v>
                </c:pt>
                <c:pt idx="3">
                  <c:v>4.5</c:v>
                </c:pt>
                <c:pt idx="4">
                  <c:v>2</c:v>
                </c:pt>
                <c:pt idx="5">
                  <c:v>1</c:v>
                </c:pt>
                <c:pt idx="6">
                  <c:v>0.5</c:v>
                </c:pt>
                <c:pt idx="7">
                  <c:v>1</c:v>
                </c:pt>
                <c:pt idx="8">
                  <c:v>1</c:v>
                </c:pt>
                <c:pt idx="9">
                  <c:v>1</c:v>
                </c:pt>
                <c:pt idx="10">
                  <c:v>1</c:v>
                </c:pt>
                <c:pt idx="11">
                  <c:v>1</c:v>
                </c:pt>
                <c:pt idx="12">
                  <c:v>1</c:v>
                </c:pt>
                <c:pt idx="13">
                  <c:v>1</c:v>
                </c:pt>
                <c:pt idx="14">
                  <c:v>3</c:v>
                </c:pt>
                <c:pt idx="15">
                  <c:v>5</c:v>
                </c:pt>
                <c:pt idx="16">
                  <c:v>8</c:v>
                </c:pt>
                <c:pt idx="17">
                  <c:v>12</c:v>
                </c:pt>
                <c:pt idx="18">
                  <c:v>22</c:v>
                </c:pt>
                <c:pt idx="19">
                  <c:v>24</c:v>
                </c:pt>
                <c:pt idx="20">
                  <c:v>19</c:v>
                </c:pt>
                <c:pt idx="21">
                  <c:v>18</c:v>
                </c:pt>
                <c:pt idx="22">
                  <c:v>17</c:v>
                </c:pt>
                <c:pt idx="23">
                  <c:v>12</c:v>
                </c:pt>
                <c:pt idx="24">
                  <c:v>6</c:v>
                </c:pt>
                <c:pt idx="25">
                  <c:v>4</c:v>
                </c:pt>
                <c:pt idx="26">
                  <c:v>2</c:v>
                </c:pt>
                <c:pt idx="27">
                  <c:v>1.5</c:v>
                </c:pt>
                <c:pt idx="28">
                  <c:v>1.5</c:v>
                </c:pt>
                <c:pt idx="29">
                  <c:v>1.2</c:v>
                </c:pt>
                <c:pt idx="30">
                  <c:v>1</c:v>
                </c:pt>
                <c:pt idx="31">
                  <c:v>1.2</c:v>
                </c:pt>
                <c:pt idx="32">
                  <c:v>2.5</c:v>
                </c:pt>
                <c:pt idx="33">
                  <c:v>6</c:v>
                </c:pt>
                <c:pt idx="34">
                  <c:v>9</c:v>
                </c:pt>
                <c:pt idx="35">
                  <c:v>11.5</c:v>
                </c:pt>
                <c:pt idx="36">
                  <c:v>10</c:v>
                </c:pt>
                <c:pt idx="37">
                  <c:v>8</c:v>
                </c:pt>
                <c:pt idx="38">
                  <c:v>5</c:v>
                </c:pt>
                <c:pt idx="39">
                  <c:v>4</c:v>
                </c:pt>
                <c:pt idx="40">
                  <c:v>3</c:v>
                </c:pt>
                <c:pt idx="41">
                  <c:v>4</c:v>
                </c:pt>
                <c:pt idx="42">
                  <c:v>2</c:v>
                </c:pt>
                <c:pt idx="43">
                  <c:v>1</c:v>
                </c:pt>
              </c:numCache>
            </c:numRef>
          </c:val>
          <c:smooth val="0"/>
          <c:extLst>
            <c:ext xmlns:c16="http://schemas.microsoft.com/office/drawing/2014/chart" uri="{C3380CC4-5D6E-409C-BE32-E72D297353CC}">
              <c16:uniqueId val="{00000000-9A26-4A0B-9AA9-D8BF5AAE201E}"/>
            </c:ext>
          </c:extLst>
        </c:ser>
        <c:dLbls>
          <c:showLegendKey val="0"/>
          <c:showVal val="0"/>
          <c:showCatName val="0"/>
          <c:showSerName val="0"/>
          <c:showPercent val="0"/>
          <c:showBubbleSize val="0"/>
        </c:dLbls>
        <c:smooth val="0"/>
        <c:axId val="387974712"/>
        <c:axId val="387978976"/>
      </c:lineChart>
      <c:catAx>
        <c:axId val="387974712"/>
        <c:scaling>
          <c:orientation val="minMax"/>
        </c:scaling>
        <c:delete val="0"/>
        <c:axPos val="b"/>
        <c:numFmt formatCode="m/d;@"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8976"/>
        <c:crosses val="autoZero"/>
        <c:auto val="0"/>
        <c:lblAlgn val="ctr"/>
        <c:lblOffset val="100"/>
        <c:tickLblSkip val="4"/>
        <c:tickMarkSkip val="1"/>
        <c:noMultiLvlLbl val="0"/>
      </c:catAx>
      <c:valAx>
        <c:axId val="387978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4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1918</c:v>
          </c:tx>
          <c:spPr>
            <a:ln w="12700" cap="rnd">
              <a:solidFill>
                <a:schemeClr val="tx1"/>
              </a:solidFill>
              <a:round/>
            </a:ln>
            <a:effectLst/>
          </c:spPr>
          <c:marker>
            <c:symbol val="none"/>
          </c:marker>
          <c:cat>
            <c:numRef>
              <c:f>'2020-1'!$A$73:$A$113</c:f>
              <c:numCache>
                <c:formatCode>m/d/yyyy</c:formatCode>
                <c:ptCount val="41"/>
                <c:pt idx="0">
                  <c:v>44011</c:v>
                </c:pt>
                <c:pt idx="1">
                  <c:v>44018</c:v>
                </c:pt>
                <c:pt idx="2">
                  <c:v>44025</c:v>
                </c:pt>
                <c:pt idx="3">
                  <c:v>44032</c:v>
                </c:pt>
                <c:pt idx="4">
                  <c:v>44039</c:v>
                </c:pt>
                <c:pt idx="5">
                  <c:v>44046</c:v>
                </c:pt>
                <c:pt idx="6">
                  <c:v>44053</c:v>
                </c:pt>
                <c:pt idx="7">
                  <c:v>44060</c:v>
                </c:pt>
                <c:pt idx="8">
                  <c:v>44067</c:v>
                </c:pt>
                <c:pt idx="9">
                  <c:v>44074</c:v>
                </c:pt>
                <c:pt idx="10">
                  <c:v>44081</c:v>
                </c:pt>
                <c:pt idx="11">
                  <c:v>44088</c:v>
                </c:pt>
                <c:pt idx="12">
                  <c:v>44095</c:v>
                </c:pt>
                <c:pt idx="13">
                  <c:v>44102</c:v>
                </c:pt>
                <c:pt idx="14">
                  <c:v>44109</c:v>
                </c:pt>
                <c:pt idx="15">
                  <c:v>44116</c:v>
                </c:pt>
                <c:pt idx="16">
                  <c:v>44123</c:v>
                </c:pt>
                <c:pt idx="17">
                  <c:v>44130</c:v>
                </c:pt>
                <c:pt idx="18">
                  <c:v>44137</c:v>
                </c:pt>
                <c:pt idx="19">
                  <c:v>44144</c:v>
                </c:pt>
                <c:pt idx="20">
                  <c:v>44151</c:v>
                </c:pt>
                <c:pt idx="21">
                  <c:v>44158</c:v>
                </c:pt>
                <c:pt idx="22">
                  <c:v>44165</c:v>
                </c:pt>
                <c:pt idx="23">
                  <c:v>44172</c:v>
                </c:pt>
                <c:pt idx="24">
                  <c:v>44179</c:v>
                </c:pt>
                <c:pt idx="25">
                  <c:v>44186</c:v>
                </c:pt>
                <c:pt idx="26">
                  <c:v>44193</c:v>
                </c:pt>
                <c:pt idx="27">
                  <c:v>44200</c:v>
                </c:pt>
                <c:pt idx="28">
                  <c:v>44207</c:v>
                </c:pt>
                <c:pt idx="29">
                  <c:v>44214</c:v>
                </c:pt>
                <c:pt idx="30">
                  <c:v>44221</c:v>
                </c:pt>
                <c:pt idx="31">
                  <c:v>44228</c:v>
                </c:pt>
                <c:pt idx="32">
                  <c:v>44235</c:v>
                </c:pt>
                <c:pt idx="33">
                  <c:v>44242</c:v>
                </c:pt>
                <c:pt idx="34">
                  <c:v>44249</c:v>
                </c:pt>
                <c:pt idx="35">
                  <c:v>44256</c:v>
                </c:pt>
                <c:pt idx="36">
                  <c:v>44263</c:v>
                </c:pt>
                <c:pt idx="37">
                  <c:v>44270</c:v>
                </c:pt>
                <c:pt idx="38">
                  <c:v>44277</c:v>
                </c:pt>
                <c:pt idx="39">
                  <c:v>44284</c:v>
                </c:pt>
                <c:pt idx="40">
                  <c:v>44291</c:v>
                </c:pt>
              </c:numCache>
            </c:numRef>
          </c:cat>
          <c:val>
            <c:numRef>
              <c:f>'2020-1'!$B$73:$B$116</c:f>
              <c:numCache>
                <c:formatCode>General</c:formatCode>
                <c:ptCount val="44"/>
                <c:pt idx="0">
                  <c:v>0</c:v>
                </c:pt>
                <c:pt idx="1">
                  <c:v>4</c:v>
                </c:pt>
                <c:pt idx="2">
                  <c:v>5</c:v>
                </c:pt>
                <c:pt idx="3">
                  <c:v>4.5</c:v>
                </c:pt>
                <c:pt idx="4">
                  <c:v>2</c:v>
                </c:pt>
                <c:pt idx="5">
                  <c:v>1</c:v>
                </c:pt>
                <c:pt idx="6">
                  <c:v>0.5</c:v>
                </c:pt>
                <c:pt idx="7">
                  <c:v>1</c:v>
                </c:pt>
                <c:pt idx="8">
                  <c:v>1</c:v>
                </c:pt>
                <c:pt idx="9">
                  <c:v>1</c:v>
                </c:pt>
                <c:pt idx="10">
                  <c:v>1</c:v>
                </c:pt>
                <c:pt idx="11">
                  <c:v>1</c:v>
                </c:pt>
                <c:pt idx="12">
                  <c:v>1</c:v>
                </c:pt>
                <c:pt idx="13">
                  <c:v>1</c:v>
                </c:pt>
                <c:pt idx="14">
                  <c:v>3</c:v>
                </c:pt>
                <c:pt idx="15">
                  <c:v>5</c:v>
                </c:pt>
                <c:pt idx="16">
                  <c:v>8</c:v>
                </c:pt>
                <c:pt idx="17">
                  <c:v>12</c:v>
                </c:pt>
                <c:pt idx="18">
                  <c:v>22</c:v>
                </c:pt>
                <c:pt idx="19">
                  <c:v>24</c:v>
                </c:pt>
                <c:pt idx="20">
                  <c:v>19</c:v>
                </c:pt>
                <c:pt idx="21">
                  <c:v>18</c:v>
                </c:pt>
                <c:pt idx="22">
                  <c:v>17</c:v>
                </c:pt>
                <c:pt idx="23">
                  <c:v>12</c:v>
                </c:pt>
                <c:pt idx="24">
                  <c:v>6</c:v>
                </c:pt>
                <c:pt idx="25">
                  <c:v>4</c:v>
                </c:pt>
                <c:pt idx="26">
                  <c:v>2</c:v>
                </c:pt>
                <c:pt idx="27">
                  <c:v>1.5</c:v>
                </c:pt>
                <c:pt idx="28">
                  <c:v>1.5</c:v>
                </c:pt>
                <c:pt idx="29">
                  <c:v>1.2</c:v>
                </c:pt>
                <c:pt idx="30">
                  <c:v>1</c:v>
                </c:pt>
                <c:pt idx="31">
                  <c:v>1.2</c:v>
                </c:pt>
                <c:pt idx="32">
                  <c:v>2.5</c:v>
                </c:pt>
                <c:pt idx="33">
                  <c:v>6</c:v>
                </c:pt>
                <c:pt idx="34">
                  <c:v>9</c:v>
                </c:pt>
                <c:pt idx="35">
                  <c:v>11.5</c:v>
                </c:pt>
                <c:pt idx="36">
                  <c:v>10</c:v>
                </c:pt>
                <c:pt idx="37">
                  <c:v>8</c:v>
                </c:pt>
                <c:pt idx="38">
                  <c:v>5</c:v>
                </c:pt>
                <c:pt idx="39">
                  <c:v>4</c:v>
                </c:pt>
                <c:pt idx="40">
                  <c:v>3</c:v>
                </c:pt>
                <c:pt idx="41">
                  <c:v>4</c:v>
                </c:pt>
                <c:pt idx="42">
                  <c:v>2</c:v>
                </c:pt>
                <c:pt idx="43">
                  <c:v>1</c:v>
                </c:pt>
              </c:numCache>
            </c:numRef>
          </c:val>
          <c:smooth val="0"/>
          <c:extLst>
            <c:ext xmlns:c16="http://schemas.microsoft.com/office/drawing/2014/chart" uri="{C3380CC4-5D6E-409C-BE32-E72D297353CC}">
              <c16:uniqueId val="{00000000-BE3E-4262-8DC1-A8D1D3376513}"/>
            </c:ext>
          </c:extLst>
        </c:ser>
        <c:ser>
          <c:idx val="1"/>
          <c:order val="1"/>
          <c:tx>
            <c:v>Deaths</c:v>
          </c:tx>
          <c:spPr>
            <a:ln w="28575" cap="rnd">
              <a:solidFill>
                <a:schemeClr val="accent2"/>
              </a:solidFill>
              <a:round/>
            </a:ln>
            <a:effectLst/>
          </c:spPr>
          <c:marker>
            <c:symbol val="none"/>
          </c:marker>
          <c:cat>
            <c:numRef>
              <c:f>'2020-1'!$A$73:$A$113</c:f>
              <c:numCache>
                <c:formatCode>m/d/yyyy</c:formatCode>
                <c:ptCount val="41"/>
                <c:pt idx="0">
                  <c:v>44011</c:v>
                </c:pt>
                <c:pt idx="1">
                  <c:v>44018</c:v>
                </c:pt>
                <c:pt idx="2">
                  <c:v>44025</c:v>
                </c:pt>
                <c:pt idx="3">
                  <c:v>44032</c:v>
                </c:pt>
                <c:pt idx="4">
                  <c:v>44039</c:v>
                </c:pt>
                <c:pt idx="5">
                  <c:v>44046</c:v>
                </c:pt>
                <c:pt idx="6">
                  <c:v>44053</c:v>
                </c:pt>
                <c:pt idx="7">
                  <c:v>44060</c:v>
                </c:pt>
                <c:pt idx="8">
                  <c:v>44067</c:v>
                </c:pt>
                <c:pt idx="9">
                  <c:v>44074</c:v>
                </c:pt>
                <c:pt idx="10">
                  <c:v>44081</c:v>
                </c:pt>
                <c:pt idx="11">
                  <c:v>44088</c:v>
                </c:pt>
                <c:pt idx="12">
                  <c:v>44095</c:v>
                </c:pt>
                <c:pt idx="13">
                  <c:v>44102</c:v>
                </c:pt>
                <c:pt idx="14">
                  <c:v>44109</c:v>
                </c:pt>
                <c:pt idx="15">
                  <c:v>44116</c:v>
                </c:pt>
                <c:pt idx="16">
                  <c:v>44123</c:v>
                </c:pt>
                <c:pt idx="17">
                  <c:v>44130</c:v>
                </c:pt>
                <c:pt idx="18">
                  <c:v>44137</c:v>
                </c:pt>
                <c:pt idx="19">
                  <c:v>44144</c:v>
                </c:pt>
                <c:pt idx="20">
                  <c:v>44151</c:v>
                </c:pt>
                <c:pt idx="21">
                  <c:v>44158</c:v>
                </c:pt>
                <c:pt idx="22">
                  <c:v>44165</c:v>
                </c:pt>
                <c:pt idx="23">
                  <c:v>44172</c:v>
                </c:pt>
                <c:pt idx="24">
                  <c:v>44179</c:v>
                </c:pt>
                <c:pt idx="25">
                  <c:v>44186</c:v>
                </c:pt>
                <c:pt idx="26">
                  <c:v>44193</c:v>
                </c:pt>
                <c:pt idx="27">
                  <c:v>44200</c:v>
                </c:pt>
                <c:pt idx="28">
                  <c:v>44207</c:v>
                </c:pt>
                <c:pt idx="29">
                  <c:v>44214</c:v>
                </c:pt>
                <c:pt idx="30">
                  <c:v>44221</c:v>
                </c:pt>
                <c:pt idx="31">
                  <c:v>44228</c:v>
                </c:pt>
                <c:pt idx="32">
                  <c:v>44235</c:v>
                </c:pt>
                <c:pt idx="33">
                  <c:v>44242</c:v>
                </c:pt>
                <c:pt idx="34">
                  <c:v>44249</c:v>
                </c:pt>
                <c:pt idx="35">
                  <c:v>44256</c:v>
                </c:pt>
                <c:pt idx="36">
                  <c:v>44263</c:v>
                </c:pt>
                <c:pt idx="37">
                  <c:v>44270</c:v>
                </c:pt>
                <c:pt idx="38">
                  <c:v>44277</c:v>
                </c:pt>
                <c:pt idx="39">
                  <c:v>44284</c:v>
                </c:pt>
                <c:pt idx="40">
                  <c:v>44291</c:v>
                </c:pt>
              </c:numCache>
            </c:numRef>
          </c:cat>
          <c:val>
            <c:numRef>
              <c:f>'2020-1'!$D$73:$D$116</c:f>
              <c:numCache>
                <c:formatCode>General</c:formatCode>
                <c:ptCount val="44"/>
                <c:pt idx="0">
                  <c:v>0</c:v>
                </c:pt>
                <c:pt idx="1">
                  <c:v>4</c:v>
                </c:pt>
                <c:pt idx="2">
                  <c:v>5</c:v>
                </c:pt>
                <c:pt idx="3">
                  <c:v>4.5</c:v>
                </c:pt>
                <c:pt idx="4">
                  <c:v>2</c:v>
                </c:pt>
                <c:pt idx="5" formatCode="0.0">
                  <c:v>5.486050944377058</c:v>
                </c:pt>
                <c:pt idx="6" formatCode="0.0">
                  <c:v>2.743025472188529</c:v>
                </c:pt>
                <c:pt idx="7" formatCode="0.0">
                  <c:v>5.486050944377058</c:v>
                </c:pt>
                <c:pt idx="8" formatCode="0.0">
                  <c:v>5.486050944377058</c:v>
                </c:pt>
                <c:pt idx="9" formatCode="0.0">
                  <c:v>5.486050944377058</c:v>
                </c:pt>
                <c:pt idx="10" formatCode="0.0">
                  <c:v>3.7768151100329233</c:v>
                </c:pt>
                <c:pt idx="11" formatCode="0.0">
                  <c:v>3.7768151100329233</c:v>
                </c:pt>
                <c:pt idx="12" formatCode="0.0">
                  <c:v>3.7768151100329233</c:v>
                </c:pt>
                <c:pt idx="13" formatCode="0.0">
                  <c:v>3.7768151100329233</c:v>
                </c:pt>
                <c:pt idx="14" formatCode="0.0">
                  <c:v>1.5789291284006237</c:v>
                </c:pt>
                <c:pt idx="15" formatCode="0.0">
                  <c:v>2.6315485473343729</c:v>
                </c:pt>
                <c:pt idx="16" formatCode="0.0">
                  <c:v>4.2104776757349969</c:v>
                </c:pt>
                <c:pt idx="17" formatCode="0.0">
                  <c:v>6.3157165136024949</c:v>
                </c:pt>
                <c:pt idx="18" formatCode="0.0">
                  <c:v>6.6366314330272047</c:v>
                </c:pt>
                <c:pt idx="19" formatCode="0.0">
                  <c:v>7.2399615633024057</c:v>
                </c:pt>
                <c:pt idx="20" formatCode="0.0">
                  <c:v>5.7316362376144045</c:v>
                </c:pt>
                <c:pt idx="21" formatCode="0.0">
                  <c:v>5.4299711724768036</c:v>
                </c:pt>
                <c:pt idx="22" formatCode="0.0">
                  <c:v>5.1283061073392036</c:v>
                </c:pt>
                <c:pt idx="23" formatCode="0.0">
                  <c:v>11.776815110032922</c:v>
                </c:pt>
                <c:pt idx="24" formatCode="0.0">
                  <c:v>11.776815110032922</c:v>
                </c:pt>
                <c:pt idx="25" formatCode="0.0">
                  <c:v>11.776815110032922</c:v>
                </c:pt>
                <c:pt idx="26" formatCode="0.0">
                  <c:v>11.56472015248657</c:v>
                </c:pt>
                <c:pt idx="27" formatCode="0.0">
                  <c:v>1.4721018887541153</c:v>
                </c:pt>
                <c:pt idx="28" formatCode="0.0">
                  <c:v>1.4721018887541153</c:v>
                </c:pt>
                <c:pt idx="29" formatCode="0.0">
                  <c:v>1.1776815110032923</c:v>
                </c:pt>
                <c:pt idx="30" formatCode="0.0">
                  <c:v>0.98140125916941034</c:v>
                </c:pt>
                <c:pt idx="31" formatCode="0.0">
                  <c:v>1.1776815110032923</c:v>
                </c:pt>
                <c:pt idx="32" formatCode="0.0">
                  <c:v>2.4535031479235254</c:v>
                </c:pt>
                <c:pt idx="33" formatCode="0.0">
                  <c:v>5.8884075550164612</c:v>
                </c:pt>
                <c:pt idx="34" formatCode="0.0">
                  <c:v>8.8326113325246922</c:v>
                </c:pt>
                <c:pt idx="35" formatCode="0.0">
                  <c:v>11.286114480448218</c:v>
                </c:pt>
                <c:pt idx="36" formatCode="0.0">
                  <c:v>9.8140125916941017</c:v>
                </c:pt>
                <c:pt idx="37" formatCode="0.0">
                  <c:v>7.8512100733552828</c:v>
                </c:pt>
                <c:pt idx="38" formatCode="0.0">
                  <c:v>4.9070062958470508</c:v>
                </c:pt>
                <c:pt idx="39" formatCode="0.0">
                  <c:v>3.9256050366776414</c:v>
                </c:pt>
                <c:pt idx="40" formatCode="0.0">
                  <c:v>2.9442037775082306</c:v>
                </c:pt>
                <c:pt idx="41" formatCode="0.0">
                  <c:v>3.9256050366776414</c:v>
                </c:pt>
                <c:pt idx="42" formatCode="0.0">
                  <c:v>1.9628025183388207</c:v>
                </c:pt>
                <c:pt idx="43" formatCode="0.0">
                  <c:v>0.98140125916941034</c:v>
                </c:pt>
              </c:numCache>
            </c:numRef>
          </c:val>
          <c:smooth val="0"/>
          <c:extLst>
            <c:ext xmlns:c16="http://schemas.microsoft.com/office/drawing/2014/chart" uri="{C3380CC4-5D6E-409C-BE32-E72D297353CC}">
              <c16:uniqueId val="{00000001-BE3E-4262-8DC1-A8D1D3376513}"/>
            </c:ext>
          </c:extLst>
        </c:ser>
        <c:ser>
          <c:idx val="2"/>
          <c:order val="2"/>
          <c:tx>
            <c:v>Cases</c:v>
          </c:tx>
          <c:spPr>
            <a:ln w="28575" cap="rnd">
              <a:solidFill>
                <a:schemeClr val="accent3"/>
              </a:solidFill>
              <a:round/>
            </a:ln>
            <a:effectLst/>
          </c:spPr>
          <c:marker>
            <c:symbol val="none"/>
          </c:marker>
          <c:val>
            <c:numRef>
              <c:f>'2020-1'!$J$73:$J$116</c:f>
              <c:numCache>
                <c:formatCode>General</c:formatCode>
                <c:ptCount val="44"/>
                <c:pt idx="0">
                  <c:v>0</c:v>
                </c:pt>
                <c:pt idx="1">
                  <c:v>4</c:v>
                </c:pt>
                <c:pt idx="2">
                  <c:v>5</c:v>
                </c:pt>
                <c:pt idx="3">
                  <c:v>4.5</c:v>
                </c:pt>
                <c:pt idx="4">
                  <c:v>2</c:v>
                </c:pt>
                <c:pt idx="5" formatCode="0.0">
                  <c:v>3.2343902638760107</c:v>
                </c:pt>
                <c:pt idx="6" formatCode="0.0">
                  <c:v>1.6171951319380053</c:v>
                </c:pt>
                <c:pt idx="7" formatCode="0.0">
                  <c:v>3.2343902638760107</c:v>
                </c:pt>
                <c:pt idx="8" formatCode="0.0">
                  <c:v>3.2343902638760107</c:v>
                </c:pt>
                <c:pt idx="9" formatCode="0.0">
                  <c:v>3.2343902638760107</c:v>
                </c:pt>
                <c:pt idx="10" formatCode="0.0">
                  <c:v>2.6401341966297625</c:v>
                </c:pt>
                <c:pt idx="11" formatCode="0.0">
                  <c:v>2.6401341966297625</c:v>
                </c:pt>
                <c:pt idx="12" formatCode="0.0">
                  <c:v>2.6401341966297625</c:v>
                </c:pt>
                <c:pt idx="13" formatCode="0.0">
                  <c:v>2.6401341966297625</c:v>
                </c:pt>
                <c:pt idx="14" formatCode="0.0">
                  <c:v>1.7127052432917724</c:v>
                </c:pt>
                <c:pt idx="15" formatCode="0.0">
                  <c:v>2.8545087388196206</c:v>
                </c:pt>
                <c:pt idx="16" formatCode="0.0">
                  <c:v>4.5672139821113937</c:v>
                </c:pt>
                <c:pt idx="17" formatCode="0.0">
                  <c:v>6.8508209731670897</c:v>
                </c:pt>
                <c:pt idx="18" formatCode="0.0">
                  <c:v>11.230854054372278</c:v>
                </c:pt>
                <c:pt idx="19" formatCode="0.0">
                  <c:v>12.251840786587941</c:v>
                </c:pt>
                <c:pt idx="20" formatCode="0.0">
                  <c:v>9.6993739560487864</c:v>
                </c:pt>
                <c:pt idx="21" formatCode="0.0">
                  <c:v>9.188880589940954</c:v>
                </c:pt>
                <c:pt idx="22" formatCode="0.0">
                  <c:v>8.6783872238331252</c:v>
                </c:pt>
                <c:pt idx="23" formatCode="0.0">
                  <c:v>13.271125874249909</c:v>
                </c:pt>
                <c:pt idx="24" formatCode="0.0">
                  <c:v>6.6355629371249547</c:v>
                </c:pt>
                <c:pt idx="25" formatCode="0.0">
                  <c:v>4.4237086247499704</c:v>
                </c:pt>
                <c:pt idx="26" formatCode="0.0">
                  <c:v>2.2118543123749852</c:v>
                </c:pt>
                <c:pt idx="27" formatCode="0.0">
                  <c:v>1.6588907342812387</c:v>
                </c:pt>
                <c:pt idx="28" formatCode="0.0">
                  <c:v>1.6588907342812387</c:v>
                </c:pt>
                <c:pt idx="29" formatCode="0.0">
                  <c:v>1.3271125874249909</c:v>
                </c:pt>
                <c:pt idx="30" formatCode="0.0">
                  <c:v>1.1059271561874926</c:v>
                </c:pt>
                <c:pt idx="31" formatCode="0.0">
                  <c:v>1.3271125874249909</c:v>
                </c:pt>
                <c:pt idx="32" formatCode="0.0">
                  <c:v>2.7648178904687315</c:v>
                </c:pt>
                <c:pt idx="33" formatCode="0.0">
                  <c:v>6.6355629371249547</c:v>
                </c:pt>
                <c:pt idx="34" formatCode="0.0">
                  <c:v>9.9533444056874316</c:v>
                </c:pt>
                <c:pt idx="35" formatCode="0.0">
                  <c:v>12.718162296156164</c:v>
                </c:pt>
                <c:pt idx="36" formatCode="0.0">
                  <c:v>11.059271561874926</c:v>
                </c:pt>
                <c:pt idx="37" formatCode="0.0">
                  <c:v>8.8474172494999408</c:v>
                </c:pt>
                <c:pt idx="38" formatCode="0.0">
                  <c:v>5.529635780937463</c:v>
                </c:pt>
                <c:pt idx="39" formatCode="0.0">
                  <c:v>4.4237086247499704</c:v>
                </c:pt>
                <c:pt idx="40" formatCode="0.0">
                  <c:v>3.3177814685624774</c:v>
                </c:pt>
                <c:pt idx="41" formatCode="0.0">
                  <c:v>4.4237086247499704</c:v>
                </c:pt>
                <c:pt idx="42" formatCode="0.0">
                  <c:v>2.2118543123749852</c:v>
                </c:pt>
                <c:pt idx="43" formatCode="0.0">
                  <c:v>1.1059271561874926</c:v>
                </c:pt>
              </c:numCache>
            </c:numRef>
          </c:val>
          <c:smooth val="0"/>
          <c:extLst>
            <c:ext xmlns:c16="http://schemas.microsoft.com/office/drawing/2014/chart" uri="{C3380CC4-5D6E-409C-BE32-E72D297353CC}">
              <c16:uniqueId val="{00000001-2319-4D69-B8FE-D298CD006F4E}"/>
            </c:ext>
          </c:extLst>
        </c:ser>
        <c:dLbls>
          <c:showLegendKey val="0"/>
          <c:showVal val="0"/>
          <c:showCatName val="0"/>
          <c:showSerName val="0"/>
          <c:showPercent val="0"/>
          <c:showBubbleSize val="0"/>
        </c:dLbls>
        <c:smooth val="0"/>
        <c:axId val="387974712"/>
        <c:axId val="387978976"/>
      </c:lineChart>
      <c:catAx>
        <c:axId val="387974712"/>
        <c:scaling>
          <c:orientation val="minMax"/>
        </c:scaling>
        <c:delete val="0"/>
        <c:axPos val="b"/>
        <c:numFmt formatCode="m/d;@"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8976"/>
        <c:crosses val="autoZero"/>
        <c:auto val="0"/>
        <c:lblAlgn val="ctr"/>
        <c:lblOffset val="100"/>
        <c:tickLblSkip val="4"/>
        <c:tickMarkSkip val="1"/>
        <c:noMultiLvlLbl val="0"/>
      </c:catAx>
      <c:valAx>
        <c:axId val="387978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47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Cases</c:v>
          </c:tx>
          <c:spPr>
            <a:ln w="28575" cap="rnd">
              <a:solidFill>
                <a:schemeClr val="accent1"/>
              </a:solidFill>
              <a:round/>
            </a:ln>
            <a:effectLst/>
          </c:spPr>
          <c:marker>
            <c:symbol val="none"/>
          </c:marker>
          <c:cat>
            <c:numRef>
              <c:f>'2020-1'!$A$52:$A$63</c:f>
              <c:numCache>
                <c:formatCode>m/d/yyyy</c:formatCode>
                <c:ptCount val="12"/>
                <c:pt idx="0">
                  <c:v>44013</c:v>
                </c:pt>
                <c:pt idx="1">
                  <c:v>44044</c:v>
                </c:pt>
                <c:pt idx="2">
                  <c:v>44075</c:v>
                </c:pt>
                <c:pt idx="3">
                  <c:v>44105</c:v>
                </c:pt>
                <c:pt idx="4">
                  <c:v>44136</c:v>
                </c:pt>
                <c:pt idx="5">
                  <c:v>44166</c:v>
                </c:pt>
                <c:pt idx="6">
                  <c:v>44175</c:v>
                </c:pt>
                <c:pt idx="7">
                  <c:v>44197</c:v>
                </c:pt>
                <c:pt idx="8">
                  <c:v>44228</c:v>
                </c:pt>
                <c:pt idx="9">
                  <c:v>44256</c:v>
                </c:pt>
                <c:pt idx="10">
                  <c:v>44287</c:v>
                </c:pt>
                <c:pt idx="11">
                  <c:v>44317</c:v>
                </c:pt>
              </c:numCache>
            </c:numRef>
          </c:cat>
          <c:val>
            <c:numRef>
              <c:f>'2020-1'!$K$52:$K$63</c:f>
              <c:numCache>
                <c:formatCode>0.00</c:formatCode>
                <c:ptCount val="12"/>
                <c:pt idx="0">
                  <c:v>4</c:v>
                </c:pt>
                <c:pt idx="1">
                  <c:v>8.9380534943501573</c:v>
                </c:pt>
                <c:pt idx="2">
                  <c:v>7.2272883000322761</c:v>
                </c:pt>
                <c:pt idx="3">
                  <c:v>5.8994151704349989</c:v>
                </c:pt>
                <c:pt idx="4">
                  <c:v>8.9336428938922392</c:v>
                </c:pt>
                <c:pt idx="5">
                  <c:v>21.189504785745484</c:v>
                </c:pt>
                <c:pt idx="6">
                  <c:v>29.667539315982818</c:v>
                </c:pt>
              </c:numCache>
            </c:numRef>
          </c:val>
          <c:smooth val="0"/>
          <c:extLst>
            <c:ext xmlns:c16="http://schemas.microsoft.com/office/drawing/2014/chart" uri="{C3380CC4-5D6E-409C-BE32-E72D297353CC}">
              <c16:uniqueId val="{00000004-3999-481B-84C1-1CD95106126D}"/>
            </c:ext>
          </c:extLst>
        </c:ser>
        <c:ser>
          <c:idx val="1"/>
          <c:order val="1"/>
          <c:tx>
            <c:v>1918</c:v>
          </c:tx>
          <c:spPr>
            <a:ln w="28575" cap="rnd">
              <a:solidFill>
                <a:schemeClr val="accent2"/>
              </a:solidFill>
              <a:round/>
            </a:ln>
            <a:effectLst/>
          </c:spPr>
          <c:marker>
            <c:symbol val="none"/>
          </c:marker>
          <c:cat>
            <c:numRef>
              <c:f>'2020-1'!$A$52:$A$63</c:f>
              <c:numCache>
                <c:formatCode>m/d/yyyy</c:formatCode>
                <c:ptCount val="12"/>
                <c:pt idx="0">
                  <c:v>44013</c:v>
                </c:pt>
                <c:pt idx="1">
                  <c:v>44044</c:v>
                </c:pt>
                <c:pt idx="2">
                  <c:v>44075</c:v>
                </c:pt>
                <c:pt idx="3">
                  <c:v>44105</c:v>
                </c:pt>
                <c:pt idx="4">
                  <c:v>44136</c:v>
                </c:pt>
                <c:pt idx="5">
                  <c:v>44166</c:v>
                </c:pt>
                <c:pt idx="6">
                  <c:v>44175</c:v>
                </c:pt>
                <c:pt idx="7">
                  <c:v>44197</c:v>
                </c:pt>
                <c:pt idx="8">
                  <c:v>44228</c:v>
                </c:pt>
                <c:pt idx="9">
                  <c:v>44256</c:v>
                </c:pt>
                <c:pt idx="10">
                  <c:v>44287</c:v>
                </c:pt>
                <c:pt idx="11">
                  <c:v>44317</c:v>
                </c:pt>
              </c:numCache>
            </c:numRef>
          </c:cat>
          <c:val>
            <c:numRef>
              <c:f>'2020-1'!$L$52:$L$63</c:f>
              <c:numCache>
                <c:formatCode>0.00</c:formatCode>
                <c:ptCount val="12"/>
                <c:pt idx="1">
                  <c:v>3.875</c:v>
                </c:pt>
                <c:pt idx="2">
                  <c:v>0.9</c:v>
                </c:pt>
                <c:pt idx="3">
                  <c:v>1</c:v>
                </c:pt>
                <c:pt idx="4">
                  <c:v>7</c:v>
                </c:pt>
                <c:pt idx="5">
                  <c:v>11.75</c:v>
                </c:pt>
                <c:pt idx="6">
                  <c:v>20</c:v>
                </c:pt>
                <c:pt idx="7">
                  <c:v>6</c:v>
                </c:pt>
                <c:pt idx="8">
                  <c:v>1.3</c:v>
                </c:pt>
                <c:pt idx="9">
                  <c:v>4.6749999999999998</c:v>
                </c:pt>
                <c:pt idx="10">
                  <c:v>7.7</c:v>
                </c:pt>
                <c:pt idx="11">
                  <c:v>2.5</c:v>
                </c:pt>
              </c:numCache>
            </c:numRef>
          </c:val>
          <c:smooth val="0"/>
          <c:extLst>
            <c:ext xmlns:c16="http://schemas.microsoft.com/office/drawing/2014/chart" uri="{C3380CC4-5D6E-409C-BE32-E72D297353CC}">
              <c16:uniqueId val="{00000005-3999-481B-84C1-1CD95106126D}"/>
            </c:ext>
          </c:extLst>
        </c:ser>
        <c:ser>
          <c:idx val="2"/>
          <c:order val="2"/>
          <c:tx>
            <c:v>Deaths</c:v>
          </c:tx>
          <c:spPr>
            <a:ln w="28575" cap="rnd">
              <a:solidFill>
                <a:schemeClr val="accent3"/>
              </a:solidFill>
              <a:round/>
            </a:ln>
            <a:effectLst/>
          </c:spPr>
          <c:marker>
            <c:symbol val="none"/>
          </c:marker>
          <c:cat>
            <c:numRef>
              <c:f>'2020-1'!$A$52:$A$63</c:f>
              <c:numCache>
                <c:formatCode>m/d/yyyy</c:formatCode>
                <c:ptCount val="12"/>
                <c:pt idx="0">
                  <c:v>44013</c:v>
                </c:pt>
                <c:pt idx="1">
                  <c:v>44044</c:v>
                </c:pt>
                <c:pt idx="2">
                  <c:v>44075</c:v>
                </c:pt>
                <c:pt idx="3">
                  <c:v>44105</c:v>
                </c:pt>
                <c:pt idx="4">
                  <c:v>44136</c:v>
                </c:pt>
                <c:pt idx="5">
                  <c:v>44166</c:v>
                </c:pt>
                <c:pt idx="6">
                  <c:v>44175</c:v>
                </c:pt>
                <c:pt idx="7">
                  <c:v>44197</c:v>
                </c:pt>
                <c:pt idx="8">
                  <c:v>44228</c:v>
                </c:pt>
                <c:pt idx="9">
                  <c:v>44256</c:v>
                </c:pt>
                <c:pt idx="10">
                  <c:v>44287</c:v>
                </c:pt>
                <c:pt idx="11">
                  <c:v>44317</c:v>
                </c:pt>
              </c:numCache>
            </c:numRef>
          </c:cat>
          <c:val>
            <c:numRef>
              <c:f>'2020-1'!$I$52:$I$63</c:f>
              <c:numCache>
                <c:formatCode>0.00</c:formatCode>
                <c:ptCount val="12"/>
                <c:pt idx="0">
                  <c:v>4</c:v>
                </c:pt>
                <c:pt idx="1">
                  <c:v>4.160126797618064</c:v>
                </c:pt>
                <c:pt idx="2">
                  <c:v>5.3011373421505468</c:v>
                </c:pt>
                <c:pt idx="3">
                  <c:v>4.0543426363991495</c:v>
                </c:pt>
                <c:pt idx="4">
                  <c:v>3.9534646020982653</c:v>
                </c:pt>
                <c:pt idx="5">
                  <c:v>6.48812882503581</c:v>
                </c:pt>
                <c:pt idx="6">
                  <c:v>12.419520523170855</c:v>
                </c:pt>
              </c:numCache>
            </c:numRef>
          </c:val>
          <c:smooth val="0"/>
          <c:extLst>
            <c:ext xmlns:c16="http://schemas.microsoft.com/office/drawing/2014/chart" uri="{C3380CC4-5D6E-409C-BE32-E72D297353CC}">
              <c16:uniqueId val="{00000006-3999-481B-84C1-1CD95106126D}"/>
            </c:ext>
          </c:extLst>
        </c:ser>
        <c:dLbls>
          <c:showLegendKey val="0"/>
          <c:showVal val="0"/>
          <c:showCatName val="0"/>
          <c:showSerName val="0"/>
          <c:showPercent val="0"/>
          <c:showBubbleSize val="0"/>
        </c:dLbls>
        <c:smooth val="0"/>
        <c:axId val="387974712"/>
        <c:axId val="387978976"/>
      </c:lineChart>
      <c:dateAx>
        <c:axId val="387974712"/>
        <c:scaling>
          <c:orientation val="minMax"/>
        </c:scaling>
        <c:delete val="0"/>
        <c:axPos val="b"/>
        <c:numFmt formatCode="m/d;@"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8976"/>
        <c:crosses val="autoZero"/>
        <c:auto val="0"/>
        <c:lblOffset val="100"/>
        <c:baseTimeUnit val="days"/>
        <c:minorUnit val="1"/>
      </c:dateAx>
      <c:valAx>
        <c:axId val="387978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4712"/>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a:t>COVID-19 Life Expectancy Change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Pre COVID</c:v>
          </c:tx>
          <c:spPr>
            <a:ln w="28575" cap="rnd">
              <a:solidFill>
                <a:schemeClr val="tx1"/>
              </a:solidFill>
              <a:round/>
            </a:ln>
            <a:effectLst/>
          </c:spPr>
          <c:marker>
            <c:symbol val="none"/>
          </c:marker>
          <c:cat>
            <c:numRef>
              <c:f>'Life Expect'!$A$5:$A$105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'Life Expect'!$C$5:$C$105</c:f>
              <c:numCache>
                <c:formatCode>#,##0</c:formatCode>
                <c:ptCount val="101"/>
                <c:pt idx="0">
                  <c:v>100000</c:v>
                </c:pt>
                <c:pt idx="1">
                  <c:v>99343</c:v>
                </c:pt>
                <c:pt idx="2">
                  <c:v>99299</c:v>
                </c:pt>
                <c:pt idx="3">
                  <c:v>99270</c:v>
                </c:pt>
                <c:pt idx="4">
                  <c:v>99248</c:v>
                </c:pt>
                <c:pt idx="5">
                  <c:v>99230</c:v>
                </c:pt>
                <c:pt idx="6">
                  <c:v>99215</c:v>
                </c:pt>
                <c:pt idx="7">
                  <c:v>99200</c:v>
                </c:pt>
                <c:pt idx="8">
                  <c:v>99187</c:v>
                </c:pt>
                <c:pt idx="9">
                  <c:v>99175</c:v>
                </c:pt>
                <c:pt idx="10">
                  <c:v>99164</c:v>
                </c:pt>
                <c:pt idx="11">
                  <c:v>99155</c:v>
                </c:pt>
                <c:pt idx="12">
                  <c:v>99146</c:v>
                </c:pt>
                <c:pt idx="13">
                  <c:v>99132</c:v>
                </c:pt>
                <c:pt idx="14">
                  <c:v>99112</c:v>
                </c:pt>
                <c:pt idx="15">
                  <c:v>99080</c:v>
                </c:pt>
                <c:pt idx="16">
                  <c:v>99037</c:v>
                </c:pt>
                <c:pt idx="17">
                  <c:v>98983</c:v>
                </c:pt>
                <c:pt idx="18">
                  <c:v>98917</c:v>
                </c:pt>
                <c:pt idx="19">
                  <c:v>98837</c:v>
                </c:pt>
                <c:pt idx="20">
                  <c:v>98744</c:v>
                </c:pt>
                <c:pt idx="21">
                  <c:v>98637</c:v>
                </c:pt>
                <c:pt idx="22">
                  <c:v>98517</c:v>
                </c:pt>
                <c:pt idx="23">
                  <c:v>98387</c:v>
                </c:pt>
                <c:pt idx="24">
                  <c:v>98254</c:v>
                </c:pt>
                <c:pt idx="25">
                  <c:v>98120</c:v>
                </c:pt>
                <c:pt idx="26">
                  <c:v>97987</c:v>
                </c:pt>
                <c:pt idx="27">
                  <c:v>97855</c:v>
                </c:pt>
                <c:pt idx="28">
                  <c:v>97722</c:v>
                </c:pt>
                <c:pt idx="29">
                  <c:v>97588</c:v>
                </c:pt>
                <c:pt idx="30">
                  <c:v>97452</c:v>
                </c:pt>
                <c:pt idx="31">
                  <c:v>97312</c:v>
                </c:pt>
                <c:pt idx="32">
                  <c:v>97170</c:v>
                </c:pt>
                <c:pt idx="33">
                  <c:v>97024</c:v>
                </c:pt>
                <c:pt idx="34">
                  <c:v>96876</c:v>
                </c:pt>
                <c:pt idx="35">
                  <c:v>96724</c:v>
                </c:pt>
                <c:pt idx="36">
                  <c:v>96568</c:v>
                </c:pt>
                <c:pt idx="37">
                  <c:v>96405</c:v>
                </c:pt>
                <c:pt idx="38">
                  <c:v>96236</c:v>
                </c:pt>
                <c:pt idx="39">
                  <c:v>96057</c:v>
                </c:pt>
                <c:pt idx="40">
                  <c:v>95869</c:v>
                </c:pt>
                <c:pt idx="41">
                  <c:v>95668</c:v>
                </c:pt>
                <c:pt idx="42">
                  <c:v>95453</c:v>
                </c:pt>
                <c:pt idx="43">
                  <c:v>95221</c:v>
                </c:pt>
                <c:pt idx="44">
                  <c:v>94967</c:v>
                </c:pt>
                <c:pt idx="45">
                  <c:v>94687</c:v>
                </c:pt>
                <c:pt idx="46">
                  <c:v>94380</c:v>
                </c:pt>
                <c:pt idx="47">
                  <c:v>94043</c:v>
                </c:pt>
                <c:pt idx="48">
                  <c:v>93674</c:v>
                </c:pt>
                <c:pt idx="49">
                  <c:v>93270</c:v>
                </c:pt>
                <c:pt idx="50">
                  <c:v>92830</c:v>
                </c:pt>
                <c:pt idx="51">
                  <c:v>92352</c:v>
                </c:pt>
                <c:pt idx="52">
                  <c:v>91832</c:v>
                </c:pt>
                <c:pt idx="53">
                  <c:v>91270</c:v>
                </c:pt>
                <c:pt idx="54">
                  <c:v>90663</c:v>
                </c:pt>
                <c:pt idx="55">
                  <c:v>90008</c:v>
                </c:pt>
                <c:pt idx="56">
                  <c:v>89302</c:v>
                </c:pt>
                <c:pt idx="57">
                  <c:v>88544</c:v>
                </c:pt>
                <c:pt idx="58">
                  <c:v>87736</c:v>
                </c:pt>
                <c:pt idx="59">
                  <c:v>86886</c:v>
                </c:pt>
                <c:pt idx="60">
                  <c:v>85995</c:v>
                </c:pt>
                <c:pt idx="61">
                  <c:v>85060</c:v>
                </c:pt>
                <c:pt idx="62">
                  <c:v>84075</c:v>
                </c:pt>
                <c:pt idx="63">
                  <c:v>83032</c:v>
                </c:pt>
                <c:pt idx="64">
                  <c:v>81925</c:v>
                </c:pt>
                <c:pt idx="65">
                  <c:v>80748</c:v>
                </c:pt>
                <c:pt idx="66">
                  <c:v>79492</c:v>
                </c:pt>
                <c:pt idx="67">
                  <c:v>78151</c:v>
                </c:pt>
                <c:pt idx="68">
                  <c:v>76717</c:v>
                </c:pt>
                <c:pt idx="69">
                  <c:v>75185</c:v>
                </c:pt>
                <c:pt idx="70">
                  <c:v>73548</c:v>
                </c:pt>
                <c:pt idx="71">
                  <c:v>71795</c:v>
                </c:pt>
                <c:pt idx="72">
                  <c:v>69917</c:v>
                </c:pt>
                <c:pt idx="73">
                  <c:v>67915</c:v>
                </c:pt>
                <c:pt idx="74">
                  <c:v>65796</c:v>
                </c:pt>
                <c:pt idx="75">
                  <c:v>63559</c:v>
                </c:pt>
                <c:pt idx="76">
                  <c:v>61195</c:v>
                </c:pt>
                <c:pt idx="77">
                  <c:v>58692</c:v>
                </c:pt>
                <c:pt idx="78">
                  <c:v>56048</c:v>
                </c:pt>
                <c:pt idx="79">
                  <c:v>53265</c:v>
                </c:pt>
                <c:pt idx="80">
                  <c:v>50344</c:v>
                </c:pt>
                <c:pt idx="81">
                  <c:v>47283</c:v>
                </c:pt>
                <c:pt idx="82">
                  <c:v>44091</c:v>
                </c:pt>
                <c:pt idx="83">
                  <c:v>40794</c:v>
                </c:pt>
                <c:pt idx="84">
                  <c:v>37424</c:v>
                </c:pt>
                <c:pt idx="85">
                  <c:v>34014</c:v>
                </c:pt>
                <c:pt idx="86">
                  <c:v>30589</c:v>
                </c:pt>
                <c:pt idx="87">
                  <c:v>27180</c:v>
                </c:pt>
                <c:pt idx="88">
                  <c:v>23822</c:v>
                </c:pt>
                <c:pt idx="89">
                  <c:v>20555</c:v>
                </c:pt>
                <c:pt idx="90">
                  <c:v>17429</c:v>
                </c:pt>
                <c:pt idx="91">
                  <c:v>14493</c:v>
                </c:pt>
                <c:pt idx="92">
                  <c:v>11797</c:v>
                </c:pt>
                <c:pt idx="93">
                  <c:v>9379</c:v>
                </c:pt>
                <c:pt idx="94">
                  <c:v>7270</c:v>
                </c:pt>
                <c:pt idx="95">
                  <c:v>5481</c:v>
                </c:pt>
                <c:pt idx="96">
                  <c:v>4018</c:v>
                </c:pt>
                <c:pt idx="97">
                  <c:v>2864</c:v>
                </c:pt>
                <c:pt idx="98">
                  <c:v>1986</c:v>
                </c:pt>
                <c:pt idx="99">
                  <c:v>1341</c:v>
                </c:pt>
                <c:pt idx="100" formatCode="General">
                  <c:v>884</c:v>
                </c:pt>
              </c:numCache>
            </c:numRef>
          </c:val>
          <c:smooth val="0"/>
          <c:extLst>
            <c:ext xmlns:c16="http://schemas.microsoft.com/office/drawing/2014/chart" uri="{C3380CC4-5D6E-409C-BE32-E72D297353CC}">
              <c16:uniqueId val="{00000000-955F-4785-89D2-4916CEAD3073}"/>
            </c:ext>
          </c:extLst>
        </c:ser>
        <c:ser>
          <c:idx val="1"/>
          <c:order val="1"/>
          <c:tx>
            <c:v>With COVID</c:v>
          </c:tx>
          <c:spPr>
            <a:ln w="28575" cap="rnd">
              <a:solidFill>
                <a:schemeClr val="tx1"/>
              </a:solidFill>
              <a:prstDash val="dash"/>
              <a:round/>
            </a:ln>
            <a:effectLst/>
          </c:spPr>
          <c:marker>
            <c:symbol val="none"/>
          </c:marker>
          <c:cat>
            <c:numRef>
              <c:f>'Life Expect'!$A$5:$A$105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'Life Expect'!$J$5:$J$105</c:f>
              <c:numCache>
                <c:formatCode>#,##0</c:formatCode>
                <c:ptCount val="101"/>
                <c:pt idx="1">
                  <c:v>100000</c:v>
                </c:pt>
                <c:pt idx="2">
                  <c:v>98686</c:v>
                </c:pt>
                <c:pt idx="3">
                  <c:v>98598</c:v>
                </c:pt>
                <c:pt idx="4">
                  <c:v>98540</c:v>
                </c:pt>
                <c:pt idx="5">
                  <c:v>98496</c:v>
                </c:pt>
                <c:pt idx="6">
                  <c:v>98460</c:v>
                </c:pt>
                <c:pt idx="7">
                  <c:v>98430</c:v>
                </c:pt>
                <c:pt idx="8">
                  <c:v>98400</c:v>
                </c:pt>
                <c:pt idx="9">
                  <c:v>98374</c:v>
                </c:pt>
                <c:pt idx="10">
                  <c:v>98052.475000000006</c:v>
                </c:pt>
                <c:pt idx="11">
                  <c:v>98030.508000000002</c:v>
                </c:pt>
                <c:pt idx="12">
                  <c:v>98012.535000000003</c:v>
                </c:pt>
                <c:pt idx="13">
                  <c:v>97994.562000000005</c:v>
                </c:pt>
                <c:pt idx="14">
                  <c:v>97966.604000000007</c:v>
                </c:pt>
                <c:pt idx="15">
                  <c:v>97926.664000000004</c:v>
                </c:pt>
                <c:pt idx="16">
                  <c:v>97862.76</c:v>
                </c:pt>
                <c:pt idx="17">
                  <c:v>97776.888999999996</c:v>
                </c:pt>
                <c:pt idx="18">
                  <c:v>97669.051000000007</c:v>
                </c:pt>
                <c:pt idx="19">
                  <c:v>97537.248999999996</c:v>
                </c:pt>
                <c:pt idx="20">
                  <c:v>97377.489000000001</c:v>
                </c:pt>
                <c:pt idx="21">
                  <c:v>97389.255999999994</c:v>
                </c:pt>
                <c:pt idx="22">
                  <c:v>97175.362999999998</c:v>
                </c:pt>
                <c:pt idx="23">
                  <c:v>96935.482999999993</c:v>
                </c:pt>
                <c:pt idx="24">
                  <c:v>96675.612999999998</c:v>
                </c:pt>
                <c:pt idx="25">
                  <c:v>96409.745999999999</c:v>
                </c:pt>
                <c:pt idx="26">
                  <c:v>96141.88</c:v>
                </c:pt>
                <c:pt idx="27">
                  <c:v>95876.013000000006</c:v>
                </c:pt>
                <c:pt idx="28">
                  <c:v>95612.145000000004</c:v>
                </c:pt>
                <c:pt idx="29">
                  <c:v>95346.278000000006</c:v>
                </c:pt>
                <c:pt idx="30">
                  <c:v>95078.411999999997</c:v>
                </c:pt>
                <c:pt idx="31">
                  <c:v>94709.096000000005</c:v>
                </c:pt>
                <c:pt idx="32">
                  <c:v>94429.376000000004</c:v>
                </c:pt>
                <c:pt idx="33">
                  <c:v>94145.66</c:v>
                </c:pt>
                <c:pt idx="34">
                  <c:v>93853.952000000005</c:v>
                </c:pt>
                <c:pt idx="35">
                  <c:v>93558.248000000007</c:v>
                </c:pt>
                <c:pt idx="36">
                  <c:v>93254.551999999996</c:v>
                </c:pt>
                <c:pt idx="37">
                  <c:v>92942.864000000001</c:v>
                </c:pt>
                <c:pt idx="38">
                  <c:v>92617.19</c:v>
                </c:pt>
                <c:pt idx="39">
                  <c:v>92279.528000000006</c:v>
                </c:pt>
                <c:pt idx="40">
                  <c:v>91921.885999999999</c:v>
                </c:pt>
                <c:pt idx="41">
                  <c:v>91258.654999999999</c:v>
                </c:pt>
                <c:pt idx="42">
                  <c:v>90857.66</c:v>
                </c:pt>
                <c:pt idx="43">
                  <c:v>90428.735000000001</c:v>
                </c:pt>
                <c:pt idx="44">
                  <c:v>89965.895000000004</c:v>
                </c:pt>
                <c:pt idx="45">
                  <c:v>89459.164999999994</c:v>
                </c:pt>
                <c:pt idx="46">
                  <c:v>88900.565000000002</c:v>
                </c:pt>
                <c:pt idx="47">
                  <c:v>88288.1</c:v>
                </c:pt>
                <c:pt idx="48">
                  <c:v>87615.785000000003</c:v>
                </c:pt>
                <c:pt idx="49">
                  <c:v>86879.63</c:v>
                </c:pt>
                <c:pt idx="50">
                  <c:v>86073.65</c:v>
                </c:pt>
                <c:pt idx="51">
                  <c:v>84267.55</c:v>
                </c:pt>
                <c:pt idx="52">
                  <c:v>83318.720000000001</c:v>
                </c:pt>
                <c:pt idx="53">
                  <c:v>82286.52</c:v>
                </c:pt>
                <c:pt idx="54">
                  <c:v>81170.95</c:v>
                </c:pt>
                <c:pt idx="55">
                  <c:v>79966.054999999993</c:v>
                </c:pt>
                <c:pt idx="56">
                  <c:v>78665.88</c:v>
                </c:pt>
                <c:pt idx="57">
                  <c:v>77264.47</c:v>
                </c:pt>
                <c:pt idx="58">
                  <c:v>75759.839999999997</c:v>
                </c:pt>
                <c:pt idx="59">
                  <c:v>74155.960000000006</c:v>
                </c:pt>
                <c:pt idx="60">
                  <c:v>72468.710000000006</c:v>
                </c:pt>
                <c:pt idx="61">
                  <c:v>65454.380000000005</c:v>
                </c:pt>
                <c:pt idx="62">
                  <c:v>63655.44</c:v>
                </c:pt>
                <c:pt idx="63">
                  <c:v>61760.3</c:v>
                </c:pt>
                <c:pt idx="64">
                  <c:v>59753.567999999999</c:v>
                </c:pt>
                <c:pt idx="65">
                  <c:v>57623.7</c:v>
                </c:pt>
                <c:pt idx="66">
                  <c:v>55359.152000000002</c:v>
                </c:pt>
                <c:pt idx="67">
                  <c:v>52942.608000000007</c:v>
                </c:pt>
                <c:pt idx="68">
                  <c:v>50362.524000000005</c:v>
                </c:pt>
                <c:pt idx="69">
                  <c:v>47603.508000000002</c:v>
                </c:pt>
                <c:pt idx="70">
                  <c:v>44655.94</c:v>
                </c:pt>
                <c:pt idx="71">
                  <c:v>30032.864000000001</c:v>
                </c:pt>
                <c:pt idx="72">
                  <c:v>26933.559999999998</c:v>
                </c:pt>
                <c:pt idx="73">
                  <c:v>23613.256000000001</c:v>
                </c:pt>
                <c:pt idx="74">
                  <c:v>20073.72</c:v>
                </c:pt>
                <c:pt idx="75">
                  <c:v>16327.328000000001</c:v>
                </c:pt>
                <c:pt idx="76">
                  <c:v>12372.312000000005</c:v>
                </c:pt>
                <c:pt idx="77">
                  <c:v>8192.760000000002</c:v>
                </c:pt>
                <c:pt idx="78">
                  <c:v>3767.4559999999983</c:v>
                </c:pt>
                <c:pt idx="79">
                  <c:v>-907.1359999999986</c:v>
                </c:pt>
              </c:numCache>
            </c:numRef>
          </c:val>
          <c:smooth val="0"/>
          <c:extLst>
            <c:ext xmlns:c16="http://schemas.microsoft.com/office/drawing/2014/chart" uri="{C3380CC4-5D6E-409C-BE32-E72D297353CC}">
              <c16:uniqueId val="{00000001-955F-4785-89D2-4916CEAD3073}"/>
            </c:ext>
          </c:extLst>
        </c:ser>
        <c:dLbls>
          <c:showLegendKey val="0"/>
          <c:showVal val="0"/>
          <c:showCatName val="0"/>
          <c:showSerName val="0"/>
          <c:showPercent val="0"/>
          <c:showBubbleSize val="0"/>
        </c:dLbls>
        <c:smooth val="0"/>
        <c:axId val="248499688"/>
        <c:axId val="186180104"/>
      </c:lineChart>
      <c:catAx>
        <c:axId val="248499688"/>
        <c:scaling>
          <c:orientation val="minMax"/>
        </c:scaling>
        <c:delete val="0"/>
        <c:axPos val="b"/>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86180104"/>
        <c:crosses val="autoZero"/>
        <c:auto val="1"/>
        <c:lblAlgn val="ctr"/>
        <c:lblOffset val="100"/>
        <c:tickMarkSkip val="10"/>
        <c:noMultiLvlLbl val="0"/>
      </c:catAx>
      <c:valAx>
        <c:axId val="186180104"/>
        <c:scaling>
          <c:orientation val="minMax"/>
          <c:max val="100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4849968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US" sz="1200"/>
              <a:t>No</a:t>
            </a:r>
            <a:r>
              <a:rPr lang="en-US" sz="1200" baseline="0"/>
              <a:t> Shutdown Linear</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v>CDC</c:v>
          </c:tx>
          <c:spPr>
            <a:ln w="28575" cap="rnd">
              <a:solidFill>
                <a:schemeClr val="tx1"/>
              </a:solidFill>
              <a:round/>
            </a:ln>
            <a:effectLst/>
          </c:spPr>
          <c:marker>
            <c:symbol val="none"/>
          </c:marker>
          <c:trendline>
            <c:spPr>
              <a:ln w="19050" cap="rnd">
                <a:solidFill>
                  <a:schemeClr val="tx1"/>
                </a:solidFill>
                <a:prstDash val="sysDot"/>
              </a:ln>
              <a:effectLst/>
            </c:spPr>
            <c:trendlineType val="linear"/>
            <c:forward val="20"/>
            <c:dispRSqr val="0"/>
            <c:dispEq val="0"/>
          </c:trendline>
          <c:cat>
            <c:numRef>
              <c:f>'death rates'!$A$10:$A$36</c:f>
              <c:numCache>
                <c:formatCode>mm/dd/yy;@</c:formatCode>
                <c:ptCount val="27"/>
                <c:pt idx="0">
                  <c:v>43922</c:v>
                </c:pt>
                <c:pt idx="1">
                  <c:v>43952</c:v>
                </c:pt>
                <c:pt idx="2">
                  <c:v>43983</c:v>
                </c:pt>
                <c:pt idx="3">
                  <c:v>43992</c:v>
                </c:pt>
                <c:pt idx="4">
                  <c:v>44013</c:v>
                </c:pt>
                <c:pt idx="5">
                  <c:v>44044</c:v>
                </c:pt>
                <c:pt idx="6">
                  <c:v>44075</c:v>
                </c:pt>
                <c:pt idx="7">
                  <c:v>44105</c:v>
                </c:pt>
                <c:pt idx="8">
                  <c:v>44136</c:v>
                </c:pt>
                <c:pt idx="9">
                  <c:v>44166</c:v>
                </c:pt>
                <c:pt idx="10">
                  <c:v>44175</c:v>
                </c:pt>
                <c:pt idx="11">
                  <c:v>44197</c:v>
                </c:pt>
                <c:pt idx="12">
                  <c:v>44228</c:v>
                </c:pt>
                <c:pt idx="13">
                  <c:v>44256</c:v>
                </c:pt>
                <c:pt idx="14">
                  <c:v>44287</c:v>
                </c:pt>
                <c:pt idx="15">
                  <c:v>44317</c:v>
                </c:pt>
                <c:pt idx="16">
                  <c:v>44348</c:v>
                </c:pt>
                <c:pt idx="17">
                  <c:v>44378</c:v>
                </c:pt>
                <c:pt idx="18">
                  <c:v>44409</c:v>
                </c:pt>
                <c:pt idx="19">
                  <c:v>44440</c:v>
                </c:pt>
                <c:pt idx="20">
                  <c:v>44470</c:v>
                </c:pt>
                <c:pt idx="21">
                  <c:v>44501</c:v>
                </c:pt>
                <c:pt idx="22">
                  <c:v>44531</c:v>
                </c:pt>
                <c:pt idx="23">
                  <c:v>44562</c:v>
                </c:pt>
                <c:pt idx="24">
                  <c:v>44593</c:v>
                </c:pt>
                <c:pt idx="25">
                  <c:v>44621</c:v>
                </c:pt>
                <c:pt idx="26">
                  <c:v>44652</c:v>
                </c:pt>
              </c:numCache>
            </c:numRef>
          </c:cat>
          <c:val>
            <c:numRef>
              <c:f>'death rates'!$D$10:$D$11</c:f>
              <c:numCache>
                <c:formatCode>#,##0</c:formatCode>
                <c:ptCount val="2"/>
                <c:pt idx="0">
                  <c:v>3746</c:v>
                </c:pt>
                <c:pt idx="1">
                  <c:v>62406</c:v>
                </c:pt>
              </c:numCache>
            </c:numRef>
          </c:val>
          <c:smooth val="0"/>
          <c:extLst>
            <c:ext xmlns:c16="http://schemas.microsoft.com/office/drawing/2014/chart" uri="{C3380CC4-5D6E-409C-BE32-E72D297353CC}">
              <c16:uniqueId val="{00000000-B81C-4C0F-83F2-5D88DBEACA02}"/>
            </c:ext>
          </c:extLst>
        </c:ser>
        <c:dLbls>
          <c:showLegendKey val="0"/>
          <c:showVal val="0"/>
          <c:showCatName val="0"/>
          <c:showSerName val="0"/>
          <c:showPercent val="0"/>
          <c:showBubbleSize val="0"/>
        </c:dLbls>
        <c:smooth val="0"/>
        <c:axId val="346246512"/>
        <c:axId val="346246840"/>
      </c:lineChart>
      <c:dateAx>
        <c:axId val="346246512"/>
        <c:scaling>
          <c:orientation val="minMax"/>
        </c:scaling>
        <c:delete val="0"/>
        <c:axPos val="b"/>
        <c:numFmt formatCode="mm/dd/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46246840"/>
        <c:crosses val="autoZero"/>
        <c:auto val="1"/>
        <c:lblOffset val="100"/>
        <c:baseTimeUnit val="months"/>
        <c:majorUnit val="1"/>
        <c:majorTimeUnit val="months"/>
      </c:dateAx>
      <c:valAx>
        <c:axId val="3462468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46246512"/>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Daily Cases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12700" cap="rnd">
              <a:solidFill>
                <a:schemeClr val="tx1"/>
              </a:solidFill>
              <a:round/>
            </a:ln>
            <a:effectLst/>
          </c:spPr>
          <c:marker>
            <c:symbol val="none"/>
          </c:marker>
          <c:cat>
            <c:numRef>
              <c:f>'death rates'!$A$9:$A$36</c:f>
              <c:numCache>
                <c:formatCode>mm/dd/yy;@</c:formatCode>
                <c:ptCount val="28"/>
                <c:pt idx="0">
                  <c:v>43901</c:v>
                </c:pt>
                <c:pt idx="1">
                  <c:v>43922</c:v>
                </c:pt>
                <c:pt idx="2">
                  <c:v>43952</c:v>
                </c:pt>
                <c:pt idx="3">
                  <c:v>43983</c:v>
                </c:pt>
                <c:pt idx="4">
                  <c:v>43992</c:v>
                </c:pt>
                <c:pt idx="5">
                  <c:v>44013</c:v>
                </c:pt>
                <c:pt idx="6">
                  <c:v>44044</c:v>
                </c:pt>
                <c:pt idx="7">
                  <c:v>44075</c:v>
                </c:pt>
                <c:pt idx="8">
                  <c:v>44105</c:v>
                </c:pt>
                <c:pt idx="9">
                  <c:v>44136</c:v>
                </c:pt>
                <c:pt idx="10">
                  <c:v>44166</c:v>
                </c:pt>
                <c:pt idx="11">
                  <c:v>44175</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'death rates'!$C$9:$C$36</c:f>
              <c:numCache>
                <c:formatCode>#,##0</c:formatCode>
                <c:ptCount val="28"/>
                <c:pt idx="1">
                  <c:v>8750.9523809523816</c:v>
                </c:pt>
                <c:pt idx="2">
                  <c:v>29255.866666666665</c:v>
                </c:pt>
                <c:pt idx="3">
                  <c:v>22550.225806451614</c:v>
                </c:pt>
                <c:pt idx="4">
                  <c:v>21657.555555555555</c:v>
                </c:pt>
                <c:pt idx="5">
                  <c:v>29752.761904761905</c:v>
                </c:pt>
                <c:pt idx="6">
                  <c:v>61056.290322580644</c:v>
                </c:pt>
                <c:pt idx="7">
                  <c:v>49369.967741935485</c:v>
                </c:pt>
                <c:pt idx="8">
                  <c:v>40299.199999999997</c:v>
                </c:pt>
                <c:pt idx="9">
                  <c:v>61026.161290322583</c:v>
                </c:pt>
                <c:pt idx="10">
                  <c:v>144746.56666666668</c:v>
                </c:pt>
                <c:pt idx="11">
                  <c:v>202660.44444444444</c:v>
                </c:pt>
                <c:pt idx="12">
                  <c:v>199654.77272727274</c:v>
                </c:pt>
                <c:pt idx="13">
                  <c:v>201862.16129032258</c:v>
                </c:pt>
                <c:pt idx="14">
                  <c:v>88722.21428571429</c:v>
                </c:pt>
                <c:pt idx="15">
                  <c:v>58317.225806451614</c:v>
                </c:pt>
                <c:pt idx="16">
                  <c:v>64393.26666666667</c:v>
                </c:pt>
                <c:pt idx="17">
                  <c:v>30570.354838709678</c:v>
                </c:pt>
                <c:pt idx="18">
                  <c:v>13440.533333333333</c:v>
                </c:pt>
                <c:pt idx="19">
                  <c:v>46129.290322580644</c:v>
                </c:pt>
                <c:pt idx="20">
                  <c:v>147174.32258064515</c:v>
                </c:pt>
                <c:pt idx="21">
                  <c:v>126677.9</c:v>
                </c:pt>
                <c:pt idx="22">
                  <c:v>83870</c:v>
                </c:pt>
                <c:pt idx="23">
                  <c:v>86935.666666666672</c:v>
                </c:pt>
                <c:pt idx="24">
                  <c:v>170908.51612903227</c:v>
                </c:pt>
                <c:pt idx="25">
                  <c:v>660886.61290322582</c:v>
                </c:pt>
                <c:pt idx="26">
                  <c:v>163289.57142857142</c:v>
                </c:pt>
                <c:pt idx="27">
                  <c:v>33853.677419354841</c:v>
                </c:pt>
              </c:numCache>
            </c:numRef>
          </c:val>
          <c:smooth val="0"/>
          <c:extLst>
            <c:ext xmlns:c16="http://schemas.microsoft.com/office/drawing/2014/chart" uri="{C3380CC4-5D6E-409C-BE32-E72D297353CC}">
              <c16:uniqueId val="{00000000-ADFA-425B-A97B-244B86F11E9D}"/>
            </c:ext>
          </c:extLst>
        </c:ser>
        <c:dLbls>
          <c:showLegendKey val="0"/>
          <c:showVal val="0"/>
          <c:showCatName val="0"/>
          <c:showSerName val="0"/>
          <c:showPercent val="0"/>
          <c:showBubbleSize val="0"/>
        </c:dLbls>
        <c:smooth val="0"/>
        <c:axId val="340633888"/>
        <c:axId val="340634216"/>
      </c:lineChart>
      <c:dateAx>
        <c:axId val="340633888"/>
        <c:scaling>
          <c:orientation val="minMax"/>
        </c:scaling>
        <c:delete val="0"/>
        <c:axPos val="b"/>
        <c:numFmt formatCode="m/d;@"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40634216"/>
        <c:crosses val="autoZero"/>
        <c:auto val="0"/>
        <c:lblOffset val="100"/>
        <c:baseTimeUnit val="days"/>
      </c:dateAx>
      <c:valAx>
        <c:axId val="340634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40633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Total Cases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12700" cap="rnd">
              <a:solidFill>
                <a:schemeClr val="tx1"/>
              </a:solidFill>
              <a:round/>
            </a:ln>
            <a:effectLst/>
          </c:spPr>
          <c:marker>
            <c:symbol val="none"/>
          </c:marker>
          <c:cat>
            <c:numRef>
              <c:f>'death rates'!$A$9:$A$36</c:f>
              <c:numCache>
                <c:formatCode>mm/dd/yy;@</c:formatCode>
                <c:ptCount val="28"/>
                <c:pt idx="0">
                  <c:v>43901</c:v>
                </c:pt>
                <c:pt idx="1">
                  <c:v>43922</c:v>
                </c:pt>
                <c:pt idx="2">
                  <c:v>43952</c:v>
                </c:pt>
                <c:pt idx="3">
                  <c:v>43983</c:v>
                </c:pt>
                <c:pt idx="4">
                  <c:v>43992</c:v>
                </c:pt>
                <c:pt idx="5">
                  <c:v>44013</c:v>
                </c:pt>
                <c:pt idx="6">
                  <c:v>44044</c:v>
                </c:pt>
                <c:pt idx="7">
                  <c:v>44075</c:v>
                </c:pt>
                <c:pt idx="8">
                  <c:v>44105</c:v>
                </c:pt>
                <c:pt idx="9">
                  <c:v>44136</c:v>
                </c:pt>
                <c:pt idx="10">
                  <c:v>44166</c:v>
                </c:pt>
                <c:pt idx="11">
                  <c:v>44175</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'death rates'!$B$9:$B$36</c:f>
              <c:numCache>
                <c:formatCode>#,##0</c:formatCode>
                <c:ptCount val="28"/>
                <c:pt idx="0" formatCode="General">
                  <c:v>1000</c:v>
                </c:pt>
                <c:pt idx="1">
                  <c:v>184770</c:v>
                </c:pt>
                <c:pt idx="2">
                  <c:v>1062446</c:v>
                </c:pt>
                <c:pt idx="3">
                  <c:v>1761503</c:v>
                </c:pt>
                <c:pt idx="4">
                  <c:v>1956421</c:v>
                </c:pt>
                <c:pt idx="5">
                  <c:v>2581229</c:v>
                </c:pt>
                <c:pt idx="6">
                  <c:v>4473974</c:v>
                </c:pt>
                <c:pt idx="7">
                  <c:v>6004443</c:v>
                </c:pt>
                <c:pt idx="8">
                  <c:v>7213419</c:v>
                </c:pt>
                <c:pt idx="9">
                  <c:v>9105230</c:v>
                </c:pt>
                <c:pt idx="10">
                  <c:v>13447627</c:v>
                </c:pt>
                <c:pt idx="11">
                  <c:v>15271571</c:v>
                </c:pt>
                <c:pt idx="12">
                  <c:v>19663976</c:v>
                </c:pt>
                <c:pt idx="13">
                  <c:v>25921703</c:v>
                </c:pt>
                <c:pt idx="14">
                  <c:v>28405925</c:v>
                </c:pt>
                <c:pt idx="15">
                  <c:v>30213759</c:v>
                </c:pt>
                <c:pt idx="16">
                  <c:v>32145557</c:v>
                </c:pt>
                <c:pt idx="17">
                  <c:v>33093238</c:v>
                </c:pt>
                <c:pt idx="18">
                  <c:v>33496454</c:v>
                </c:pt>
                <c:pt idx="19">
                  <c:v>34926462</c:v>
                </c:pt>
                <c:pt idx="20">
                  <c:v>39488866</c:v>
                </c:pt>
                <c:pt idx="21">
                  <c:v>43289203</c:v>
                </c:pt>
                <c:pt idx="22">
                  <c:v>45889173</c:v>
                </c:pt>
                <c:pt idx="23">
                  <c:v>48497243</c:v>
                </c:pt>
                <c:pt idx="24">
                  <c:v>53795407</c:v>
                </c:pt>
                <c:pt idx="25">
                  <c:v>74282892</c:v>
                </c:pt>
                <c:pt idx="26">
                  <c:v>78855000</c:v>
                </c:pt>
                <c:pt idx="27">
                  <c:v>79904464</c:v>
                </c:pt>
              </c:numCache>
            </c:numRef>
          </c:val>
          <c:smooth val="0"/>
          <c:extLst>
            <c:ext xmlns:c16="http://schemas.microsoft.com/office/drawing/2014/chart" uri="{C3380CC4-5D6E-409C-BE32-E72D297353CC}">
              <c16:uniqueId val="{00000000-1D4B-4266-99EE-4044A8E09F30}"/>
            </c:ext>
          </c:extLst>
        </c:ser>
        <c:dLbls>
          <c:showLegendKey val="0"/>
          <c:showVal val="0"/>
          <c:showCatName val="0"/>
          <c:showSerName val="0"/>
          <c:showPercent val="0"/>
          <c:showBubbleSize val="0"/>
        </c:dLbls>
        <c:smooth val="0"/>
        <c:axId val="340633888"/>
        <c:axId val="340634216"/>
      </c:lineChart>
      <c:dateAx>
        <c:axId val="340633888"/>
        <c:scaling>
          <c:orientation val="minMax"/>
        </c:scaling>
        <c:delete val="0"/>
        <c:axPos val="b"/>
        <c:numFmt formatCode="m/d;@"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40634216"/>
        <c:crosses val="autoZero"/>
        <c:auto val="0"/>
        <c:lblOffset val="100"/>
        <c:baseTimeUnit val="days"/>
      </c:dateAx>
      <c:valAx>
        <c:axId val="340634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40633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D per 1000</c:v>
          </c:tx>
          <c:spPr>
            <a:ln w="12700" cap="rnd">
              <a:solidFill>
                <a:schemeClr val="tx1"/>
              </a:solidFill>
              <a:round/>
            </a:ln>
            <a:effectLst/>
          </c:spPr>
          <c:marker>
            <c:symbol val="none"/>
          </c:marker>
          <c:cat>
            <c:numRef>
              <c:f>'2021'!$A$2:$A$42</c:f>
              <c:numCache>
                <c:formatCode>m/d/yyyy</c:formatCode>
                <c:ptCount val="41"/>
                <c:pt idx="0">
                  <c:v>6755</c:v>
                </c:pt>
                <c:pt idx="1">
                  <c:v>6762</c:v>
                </c:pt>
                <c:pt idx="2">
                  <c:v>6769</c:v>
                </c:pt>
                <c:pt idx="3">
                  <c:v>6776</c:v>
                </c:pt>
                <c:pt idx="4">
                  <c:v>6783</c:v>
                </c:pt>
                <c:pt idx="5">
                  <c:v>6790</c:v>
                </c:pt>
                <c:pt idx="6">
                  <c:v>6797</c:v>
                </c:pt>
                <c:pt idx="7">
                  <c:v>6804</c:v>
                </c:pt>
                <c:pt idx="8">
                  <c:v>6811</c:v>
                </c:pt>
                <c:pt idx="9">
                  <c:v>6818</c:v>
                </c:pt>
                <c:pt idx="10">
                  <c:v>6825</c:v>
                </c:pt>
                <c:pt idx="11">
                  <c:v>6832</c:v>
                </c:pt>
                <c:pt idx="12">
                  <c:v>6839</c:v>
                </c:pt>
                <c:pt idx="13">
                  <c:v>6846</c:v>
                </c:pt>
                <c:pt idx="14">
                  <c:v>6853</c:v>
                </c:pt>
                <c:pt idx="15">
                  <c:v>6860</c:v>
                </c:pt>
                <c:pt idx="16">
                  <c:v>6867</c:v>
                </c:pt>
                <c:pt idx="17">
                  <c:v>6874</c:v>
                </c:pt>
                <c:pt idx="18">
                  <c:v>6881</c:v>
                </c:pt>
                <c:pt idx="19">
                  <c:v>6888</c:v>
                </c:pt>
                <c:pt idx="20">
                  <c:v>6895</c:v>
                </c:pt>
                <c:pt idx="21">
                  <c:v>6902</c:v>
                </c:pt>
                <c:pt idx="22">
                  <c:v>6909</c:v>
                </c:pt>
                <c:pt idx="23">
                  <c:v>6916</c:v>
                </c:pt>
                <c:pt idx="24">
                  <c:v>6923</c:v>
                </c:pt>
                <c:pt idx="25">
                  <c:v>6930</c:v>
                </c:pt>
                <c:pt idx="26">
                  <c:v>6937</c:v>
                </c:pt>
                <c:pt idx="27">
                  <c:v>6944</c:v>
                </c:pt>
                <c:pt idx="28">
                  <c:v>6951</c:v>
                </c:pt>
                <c:pt idx="29">
                  <c:v>6958</c:v>
                </c:pt>
                <c:pt idx="30">
                  <c:v>6965</c:v>
                </c:pt>
                <c:pt idx="31">
                  <c:v>6972</c:v>
                </c:pt>
                <c:pt idx="32">
                  <c:v>6979</c:v>
                </c:pt>
                <c:pt idx="33">
                  <c:v>6986</c:v>
                </c:pt>
                <c:pt idx="34">
                  <c:v>6993</c:v>
                </c:pt>
                <c:pt idx="35">
                  <c:v>7000</c:v>
                </c:pt>
                <c:pt idx="36">
                  <c:v>7007</c:v>
                </c:pt>
                <c:pt idx="37">
                  <c:v>7014</c:v>
                </c:pt>
                <c:pt idx="38">
                  <c:v>7021</c:v>
                </c:pt>
                <c:pt idx="39">
                  <c:v>7028</c:v>
                </c:pt>
                <c:pt idx="40">
                  <c:v>7035</c:v>
                </c:pt>
              </c:numCache>
            </c:numRef>
          </c:cat>
          <c:val>
            <c:numRef>
              <c:f>'2021'!$B$2:$B$45</c:f>
              <c:numCache>
                <c:formatCode>General</c:formatCode>
                <c:ptCount val="44"/>
                <c:pt idx="0">
                  <c:v>0</c:v>
                </c:pt>
                <c:pt idx="1">
                  <c:v>4</c:v>
                </c:pt>
                <c:pt idx="2">
                  <c:v>5</c:v>
                </c:pt>
                <c:pt idx="3">
                  <c:v>4.5</c:v>
                </c:pt>
                <c:pt idx="4">
                  <c:v>2</c:v>
                </c:pt>
                <c:pt idx="5">
                  <c:v>1</c:v>
                </c:pt>
                <c:pt idx="6">
                  <c:v>0.5</c:v>
                </c:pt>
                <c:pt idx="7">
                  <c:v>1</c:v>
                </c:pt>
                <c:pt idx="8">
                  <c:v>1</c:v>
                </c:pt>
                <c:pt idx="9">
                  <c:v>1</c:v>
                </c:pt>
                <c:pt idx="10">
                  <c:v>1</c:v>
                </c:pt>
                <c:pt idx="11">
                  <c:v>1</c:v>
                </c:pt>
                <c:pt idx="12">
                  <c:v>1</c:v>
                </c:pt>
                <c:pt idx="13">
                  <c:v>1</c:v>
                </c:pt>
                <c:pt idx="14">
                  <c:v>3</c:v>
                </c:pt>
                <c:pt idx="15">
                  <c:v>5</c:v>
                </c:pt>
                <c:pt idx="16">
                  <c:v>8</c:v>
                </c:pt>
                <c:pt idx="17">
                  <c:v>12</c:v>
                </c:pt>
                <c:pt idx="18">
                  <c:v>22</c:v>
                </c:pt>
                <c:pt idx="19">
                  <c:v>24</c:v>
                </c:pt>
                <c:pt idx="20">
                  <c:v>19</c:v>
                </c:pt>
                <c:pt idx="21">
                  <c:v>18</c:v>
                </c:pt>
                <c:pt idx="22">
                  <c:v>17</c:v>
                </c:pt>
                <c:pt idx="23">
                  <c:v>12</c:v>
                </c:pt>
                <c:pt idx="24">
                  <c:v>6</c:v>
                </c:pt>
                <c:pt idx="25">
                  <c:v>4</c:v>
                </c:pt>
                <c:pt idx="26">
                  <c:v>2</c:v>
                </c:pt>
                <c:pt idx="27">
                  <c:v>1.5</c:v>
                </c:pt>
                <c:pt idx="28">
                  <c:v>1.5</c:v>
                </c:pt>
                <c:pt idx="29">
                  <c:v>1.2</c:v>
                </c:pt>
                <c:pt idx="30">
                  <c:v>1</c:v>
                </c:pt>
                <c:pt idx="31">
                  <c:v>1.2</c:v>
                </c:pt>
                <c:pt idx="32">
                  <c:v>2.5</c:v>
                </c:pt>
                <c:pt idx="33">
                  <c:v>6</c:v>
                </c:pt>
                <c:pt idx="34">
                  <c:v>9</c:v>
                </c:pt>
                <c:pt idx="35">
                  <c:v>11.5</c:v>
                </c:pt>
                <c:pt idx="36">
                  <c:v>10</c:v>
                </c:pt>
                <c:pt idx="37">
                  <c:v>8</c:v>
                </c:pt>
                <c:pt idx="38">
                  <c:v>5</c:v>
                </c:pt>
                <c:pt idx="39">
                  <c:v>4</c:v>
                </c:pt>
                <c:pt idx="40">
                  <c:v>3</c:v>
                </c:pt>
                <c:pt idx="41">
                  <c:v>4</c:v>
                </c:pt>
                <c:pt idx="42">
                  <c:v>2</c:v>
                </c:pt>
                <c:pt idx="43">
                  <c:v>1</c:v>
                </c:pt>
              </c:numCache>
            </c:numRef>
          </c:val>
          <c:smooth val="0"/>
          <c:extLst>
            <c:ext xmlns:c16="http://schemas.microsoft.com/office/drawing/2014/chart" uri="{C3380CC4-5D6E-409C-BE32-E72D297353CC}">
              <c16:uniqueId val="{00000000-5574-4AB3-939D-C90FC97E83E2}"/>
            </c:ext>
          </c:extLst>
        </c:ser>
        <c:dLbls>
          <c:showLegendKey val="0"/>
          <c:showVal val="0"/>
          <c:showCatName val="0"/>
          <c:showSerName val="0"/>
          <c:showPercent val="0"/>
          <c:showBubbleSize val="0"/>
        </c:dLbls>
        <c:smooth val="0"/>
        <c:axId val="387974712"/>
        <c:axId val="387978976"/>
      </c:lineChart>
      <c:catAx>
        <c:axId val="387974712"/>
        <c:scaling>
          <c:orientation val="minMax"/>
        </c:scaling>
        <c:delete val="0"/>
        <c:axPos val="b"/>
        <c:numFmt formatCode="m/d;@"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8976"/>
        <c:crosses val="autoZero"/>
        <c:auto val="0"/>
        <c:lblAlgn val="ctr"/>
        <c:lblOffset val="100"/>
        <c:tickLblSkip val="4"/>
        <c:tickMarkSkip val="1"/>
        <c:noMultiLvlLbl val="0"/>
      </c:catAx>
      <c:valAx>
        <c:axId val="387978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4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a:t>1918 and</a:t>
            </a:r>
            <a:r>
              <a:rPr lang="en-US" baseline="0"/>
              <a:t> COVID-19 Pandemic Death Trends</a:t>
            </a:r>
            <a:endParaRPr lang="en-US"/>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1918 Pandemic</c:v>
          </c:tx>
          <c:spPr>
            <a:ln w="12700" cap="rnd">
              <a:solidFill>
                <a:schemeClr val="tx1"/>
              </a:solidFill>
              <a:round/>
            </a:ln>
            <a:effectLst/>
          </c:spPr>
          <c:marker>
            <c:symbol val="none"/>
          </c:marker>
          <c:cat>
            <c:numRef>
              <c:f>'2021'!$A$79:$A$136</c:f>
              <c:numCache>
                <c:formatCode>m/d/yyyy</c:formatCode>
                <c:ptCount val="58"/>
                <c:pt idx="0">
                  <c:v>44011</c:v>
                </c:pt>
                <c:pt idx="1">
                  <c:v>44018</c:v>
                </c:pt>
                <c:pt idx="2">
                  <c:v>44025</c:v>
                </c:pt>
                <c:pt idx="3">
                  <c:v>44032</c:v>
                </c:pt>
                <c:pt idx="4">
                  <c:v>44039</c:v>
                </c:pt>
                <c:pt idx="5">
                  <c:v>44046</c:v>
                </c:pt>
                <c:pt idx="6">
                  <c:v>44053</c:v>
                </c:pt>
                <c:pt idx="7">
                  <c:v>44060</c:v>
                </c:pt>
                <c:pt idx="8">
                  <c:v>44067</c:v>
                </c:pt>
                <c:pt idx="9">
                  <c:v>44074</c:v>
                </c:pt>
                <c:pt idx="10">
                  <c:v>44081</c:v>
                </c:pt>
                <c:pt idx="11">
                  <c:v>44088</c:v>
                </c:pt>
                <c:pt idx="12">
                  <c:v>44095</c:v>
                </c:pt>
                <c:pt idx="13">
                  <c:v>44102</c:v>
                </c:pt>
                <c:pt idx="14">
                  <c:v>44109</c:v>
                </c:pt>
                <c:pt idx="15">
                  <c:v>44116</c:v>
                </c:pt>
                <c:pt idx="16">
                  <c:v>44123</c:v>
                </c:pt>
                <c:pt idx="17">
                  <c:v>44130</c:v>
                </c:pt>
                <c:pt idx="18">
                  <c:v>44137</c:v>
                </c:pt>
                <c:pt idx="19">
                  <c:v>44144</c:v>
                </c:pt>
                <c:pt idx="20">
                  <c:v>44151</c:v>
                </c:pt>
                <c:pt idx="21">
                  <c:v>44158</c:v>
                </c:pt>
                <c:pt idx="22">
                  <c:v>44165</c:v>
                </c:pt>
                <c:pt idx="23">
                  <c:v>44172</c:v>
                </c:pt>
                <c:pt idx="24">
                  <c:v>44179</c:v>
                </c:pt>
                <c:pt idx="25">
                  <c:v>44186</c:v>
                </c:pt>
                <c:pt idx="26">
                  <c:v>44193</c:v>
                </c:pt>
                <c:pt idx="27">
                  <c:v>44200</c:v>
                </c:pt>
                <c:pt idx="28">
                  <c:v>44207</c:v>
                </c:pt>
                <c:pt idx="29">
                  <c:v>44214</c:v>
                </c:pt>
                <c:pt idx="30">
                  <c:v>44221</c:v>
                </c:pt>
                <c:pt idx="31">
                  <c:v>44228</c:v>
                </c:pt>
                <c:pt idx="32">
                  <c:v>44235</c:v>
                </c:pt>
                <c:pt idx="33">
                  <c:v>44242</c:v>
                </c:pt>
                <c:pt idx="34">
                  <c:v>44249</c:v>
                </c:pt>
                <c:pt idx="35">
                  <c:v>44256</c:v>
                </c:pt>
                <c:pt idx="36">
                  <c:v>44263</c:v>
                </c:pt>
                <c:pt idx="37">
                  <c:v>44270</c:v>
                </c:pt>
                <c:pt idx="38">
                  <c:v>44277</c:v>
                </c:pt>
                <c:pt idx="39">
                  <c:v>44284</c:v>
                </c:pt>
                <c:pt idx="40">
                  <c:v>44291</c:v>
                </c:pt>
                <c:pt idx="41">
                  <c:v>44298</c:v>
                </c:pt>
                <c:pt idx="42">
                  <c:v>44305</c:v>
                </c:pt>
                <c:pt idx="43">
                  <c:v>44312</c:v>
                </c:pt>
                <c:pt idx="44">
                  <c:v>44319</c:v>
                </c:pt>
                <c:pt idx="45">
                  <c:v>44326</c:v>
                </c:pt>
                <c:pt idx="46">
                  <c:v>44333</c:v>
                </c:pt>
                <c:pt idx="47">
                  <c:v>44340</c:v>
                </c:pt>
                <c:pt idx="48">
                  <c:v>44347</c:v>
                </c:pt>
                <c:pt idx="49">
                  <c:v>44354</c:v>
                </c:pt>
                <c:pt idx="50">
                  <c:v>44361</c:v>
                </c:pt>
                <c:pt idx="51">
                  <c:v>44368</c:v>
                </c:pt>
                <c:pt idx="52">
                  <c:v>44375</c:v>
                </c:pt>
                <c:pt idx="53">
                  <c:v>44382</c:v>
                </c:pt>
                <c:pt idx="54">
                  <c:v>44389</c:v>
                </c:pt>
                <c:pt idx="55">
                  <c:v>44396</c:v>
                </c:pt>
                <c:pt idx="56">
                  <c:v>44403</c:v>
                </c:pt>
                <c:pt idx="57">
                  <c:v>44410</c:v>
                </c:pt>
              </c:numCache>
            </c:numRef>
          </c:cat>
          <c:val>
            <c:numRef>
              <c:f>'2021'!$B$79:$B$136</c:f>
              <c:numCache>
                <c:formatCode>General</c:formatCode>
                <c:ptCount val="58"/>
                <c:pt idx="0">
                  <c:v>0</c:v>
                </c:pt>
                <c:pt idx="1">
                  <c:v>4</c:v>
                </c:pt>
                <c:pt idx="2">
                  <c:v>5</c:v>
                </c:pt>
                <c:pt idx="3">
                  <c:v>4.5</c:v>
                </c:pt>
                <c:pt idx="4">
                  <c:v>2</c:v>
                </c:pt>
                <c:pt idx="5">
                  <c:v>1</c:v>
                </c:pt>
                <c:pt idx="6">
                  <c:v>0.5</c:v>
                </c:pt>
                <c:pt idx="7">
                  <c:v>1</c:v>
                </c:pt>
                <c:pt idx="8">
                  <c:v>1</c:v>
                </c:pt>
                <c:pt idx="9">
                  <c:v>1</c:v>
                </c:pt>
                <c:pt idx="10">
                  <c:v>1</c:v>
                </c:pt>
                <c:pt idx="11">
                  <c:v>1</c:v>
                </c:pt>
                <c:pt idx="12">
                  <c:v>1</c:v>
                </c:pt>
                <c:pt idx="13">
                  <c:v>1</c:v>
                </c:pt>
                <c:pt idx="14">
                  <c:v>3</c:v>
                </c:pt>
                <c:pt idx="15">
                  <c:v>5</c:v>
                </c:pt>
                <c:pt idx="16">
                  <c:v>8</c:v>
                </c:pt>
                <c:pt idx="17">
                  <c:v>12</c:v>
                </c:pt>
                <c:pt idx="18">
                  <c:v>22</c:v>
                </c:pt>
                <c:pt idx="19">
                  <c:v>24</c:v>
                </c:pt>
                <c:pt idx="20">
                  <c:v>19</c:v>
                </c:pt>
                <c:pt idx="21">
                  <c:v>18</c:v>
                </c:pt>
                <c:pt idx="22">
                  <c:v>17</c:v>
                </c:pt>
                <c:pt idx="23">
                  <c:v>12</c:v>
                </c:pt>
                <c:pt idx="24">
                  <c:v>6</c:v>
                </c:pt>
                <c:pt idx="25">
                  <c:v>4</c:v>
                </c:pt>
                <c:pt idx="26">
                  <c:v>2</c:v>
                </c:pt>
                <c:pt idx="27">
                  <c:v>1.5</c:v>
                </c:pt>
                <c:pt idx="28">
                  <c:v>1.5</c:v>
                </c:pt>
                <c:pt idx="29">
                  <c:v>1.2</c:v>
                </c:pt>
                <c:pt idx="30">
                  <c:v>1</c:v>
                </c:pt>
                <c:pt idx="31">
                  <c:v>1.2</c:v>
                </c:pt>
                <c:pt idx="32">
                  <c:v>2.5</c:v>
                </c:pt>
                <c:pt idx="33">
                  <c:v>6</c:v>
                </c:pt>
                <c:pt idx="34">
                  <c:v>9</c:v>
                </c:pt>
                <c:pt idx="35">
                  <c:v>11.5</c:v>
                </c:pt>
                <c:pt idx="36">
                  <c:v>10</c:v>
                </c:pt>
                <c:pt idx="37">
                  <c:v>8</c:v>
                </c:pt>
                <c:pt idx="38">
                  <c:v>5</c:v>
                </c:pt>
                <c:pt idx="39">
                  <c:v>4</c:v>
                </c:pt>
                <c:pt idx="40">
                  <c:v>3</c:v>
                </c:pt>
                <c:pt idx="41">
                  <c:v>4</c:v>
                </c:pt>
                <c:pt idx="42">
                  <c:v>2</c:v>
                </c:pt>
                <c:pt idx="43">
                  <c:v>1</c:v>
                </c:pt>
              </c:numCache>
            </c:numRef>
          </c:val>
          <c:smooth val="0"/>
          <c:extLst>
            <c:ext xmlns:c16="http://schemas.microsoft.com/office/drawing/2014/chart" uri="{C3380CC4-5D6E-409C-BE32-E72D297353CC}">
              <c16:uniqueId val="{00000000-4681-4EBE-9924-A1D8003B7511}"/>
            </c:ext>
          </c:extLst>
        </c:ser>
        <c:ser>
          <c:idx val="1"/>
          <c:order val="1"/>
          <c:tx>
            <c:v>COVID-19 Disaster</c:v>
          </c:tx>
          <c:spPr>
            <a:ln w="28575" cap="rnd">
              <a:solidFill>
                <a:schemeClr val="accent2"/>
              </a:solidFill>
              <a:round/>
            </a:ln>
            <a:effectLst/>
          </c:spPr>
          <c:marker>
            <c:symbol val="none"/>
          </c:marker>
          <c:cat>
            <c:numRef>
              <c:f>'2021'!$A$79:$A$136</c:f>
              <c:numCache>
                <c:formatCode>m/d/yyyy</c:formatCode>
                <c:ptCount val="58"/>
                <c:pt idx="0">
                  <c:v>44011</c:v>
                </c:pt>
                <c:pt idx="1">
                  <c:v>44018</c:v>
                </c:pt>
                <c:pt idx="2">
                  <c:v>44025</c:v>
                </c:pt>
                <c:pt idx="3">
                  <c:v>44032</c:v>
                </c:pt>
                <c:pt idx="4">
                  <c:v>44039</c:v>
                </c:pt>
                <c:pt idx="5">
                  <c:v>44046</c:v>
                </c:pt>
                <c:pt idx="6">
                  <c:v>44053</c:v>
                </c:pt>
                <c:pt idx="7">
                  <c:v>44060</c:v>
                </c:pt>
                <c:pt idx="8">
                  <c:v>44067</c:v>
                </c:pt>
                <c:pt idx="9">
                  <c:v>44074</c:v>
                </c:pt>
                <c:pt idx="10">
                  <c:v>44081</c:v>
                </c:pt>
                <c:pt idx="11">
                  <c:v>44088</c:v>
                </c:pt>
                <c:pt idx="12">
                  <c:v>44095</c:v>
                </c:pt>
                <c:pt idx="13">
                  <c:v>44102</c:v>
                </c:pt>
                <c:pt idx="14">
                  <c:v>44109</c:v>
                </c:pt>
                <c:pt idx="15">
                  <c:v>44116</c:v>
                </c:pt>
                <c:pt idx="16">
                  <c:v>44123</c:v>
                </c:pt>
                <c:pt idx="17">
                  <c:v>44130</c:v>
                </c:pt>
                <c:pt idx="18">
                  <c:v>44137</c:v>
                </c:pt>
                <c:pt idx="19">
                  <c:v>44144</c:v>
                </c:pt>
                <c:pt idx="20">
                  <c:v>44151</c:v>
                </c:pt>
                <c:pt idx="21">
                  <c:v>44158</c:v>
                </c:pt>
                <c:pt idx="22">
                  <c:v>44165</c:v>
                </c:pt>
                <c:pt idx="23">
                  <c:v>44172</c:v>
                </c:pt>
                <c:pt idx="24">
                  <c:v>44179</c:v>
                </c:pt>
                <c:pt idx="25">
                  <c:v>44186</c:v>
                </c:pt>
                <c:pt idx="26">
                  <c:v>44193</c:v>
                </c:pt>
                <c:pt idx="27">
                  <c:v>44200</c:v>
                </c:pt>
                <c:pt idx="28">
                  <c:v>44207</c:v>
                </c:pt>
                <c:pt idx="29">
                  <c:v>44214</c:v>
                </c:pt>
                <c:pt idx="30">
                  <c:v>44221</c:v>
                </c:pt>
                <c:pt idx="31">
                  <c:v>44228</c:v>
                </c:pt>
                <c:pt idx="32">
                  <c:v>44235</c:v>
                </c:pt>
                <c:pt idx="33">
                  <c:v>44242</c:v>
                </c:pt>
                <c:pt idx="34">
                  <c:v>44249</c:v>
                </c:pt>
                <c:pt idx="35">
                  <c:v>44256</c:v>
                </c:pt>
                <c:pt idx="36">
                  <c:v>44263</c:v>
                </c:pt>
                <c:pt idx="37">
                  <c:v>44270</c:v>
                </c:pt>
                <c:pt idx="38">
                  <c:v>44277</c:v>
                </c:pt>
                <c:pt idx="39">
                  <c:v>44284</c:v>
                </c:pt>
                <c:pt idx="40">
                  <c:v>44291</c:v>
                </c:pt>
                <c:pt idx="41">
                  <c:v>44298</c:v>
                </c:pt>
                <c:pt idx="42">
                  <c:v>44305</c:v>
                </c:pt>
                <c:pt idx="43">
                  <c:v>44312</c:v>
                </c:pt>
                <c:pt idx="44">
                  <c:v>44319</c:v>
                </c:pt>
                <c:pt idx="45">
                  <c:v>44326</c:v>
                </c:pt>
                <c:pt idx="46">
                  <c:v>44333</c:v>
                </c:pt>
                <c:pt idx="47">
                  <c:v>44340</c:v>
                </c:pt>
                <c:pt idx="48">
                  <c:v>44347</c:v>
                </c:pt>
                <c:pt idx="49">
                  <c:v>44354</c:v>
                </c:pt>
                <c:pt idx="50">
                  <c:v>44361</c:v>
                </c:pt>
                <c:pt idx="51">
                  <c:v>44368</c:v>
                </c:pt>
                <c:pt idx="52">
                  <c:v>44375</c:v>
                </c:pt>
                <c:pt idx="53">
                  <c:v>44382</c:v>
                </c:pt>
                <c:pt idx="54">
                  <c:v>44389</c:v>
                </c:pt>
                <c:pt idx="55">
                  <c:v>44396</c:v>
                </c:pt>
                <c:pt idx="56">
                  <c:v>44403</c:v>
                </c:pt>
                <c:pt idx="57">
                  <c:v>44410</c:v>
                </c:pt>
              </c:numCache>
            </c:numRef>
          </c:cat>
          <c:val>
            <c:numRef>
              <c:f>'2021'!$D$79:$D$136</c:f>
              <c:numCache>
                <c:formatCode>General</c:formatCode>
                <c:ptCount val="58"/>
                <c:pt idx="0">
                  <c:v>0</c:v>
                </c:pt>
                <c:pt idx="1">
                  <c:v>4</c:v>
                </c:pt>
                <c:pt idx="2">
                  <c:v>5</c:v>
                </c:pt>
                <c:pt idx="3">
                  <c:v>4.5</c:v>
                </c:pt>
                <c:pt idx="4">
                  <c:v>2</c:v>
                </c:pt>
                <c:pt idx="5" formatCode="0.0">
                  <c:v>5.486050944377058</c:v>
                </c:pt>
                <c:pt idx="6" formatCode="0.0">
                  <c:v>2.743025472188529</c:v>
                </c:pt>
                <c:pt idx="7" formatCode="0.0">
                  <c:v>5.486050944377058</c:v>
                </c:pt>
                <c:pt idx="8" formatCode="0.0">
                  <c:v>5.486050944377058</c:v>
                </c:pt>
                <c:pt idx="9" formatCode="0.0">
                  <c:v>5.486050944377058</c:v>
                </c:pt>
                <c:pt idx="10" formatCode="0.0">
                  <c:v>3.7768151100329233</c:v>
                </c:pt>
                <c:pt idx="11" formatCode="0.0">
                  <c:v>3.7768151100329233</c:v>
                </c:pt>
                <c:pt idx="12" formatCode="0.0">
                  <c:v>3.7768151100329233</c:v>
                </c:pt>
                <c:pt idx="13" formatCode="0.0">
                  <c:v>3.7768151100329233</c:v>
                </c:pt>
                <c:pt idx="14" formatCode="0.0">
                  <c:v>3.6825506844567668</c:v>
                </c:pt>
                <c:pt idx="15" formatCode="0.0">
                  <c:v>3.6825506844567668</c:v>
                </c:pt>
                <c:pt idx="16" formatCode="0.0">
                  <c:v>3.6825506844567668</c:v>
                </c:pt>
                <c:pt idx="17" formatCode="0.0">
                  <c:v>3.6825506844567668</c:v>
                </c:pt>
                <c:pt idx="18" formatCode="0.0">
                  <c:v>6.0440131692947494</c:v>
                </c:pt>
                <c:pt idx="19" formatCode="0.0">
                  <c:v>6.0440131692947494</c:v>
                </c:pt>
                <c:pt idx="20" formatCode="0.0">
                  <c:v>6.0440131692947494</c:v>
                </c:pt>
                <c:pt idx="21" formatCode="0.0">
                  <c:v>6.0440131692947494</c:v>
                </c:pt>
                <c:pt idx="22" formatCode="0.0">
                  <c:v>6.0440131692947494</c:v>
                </c:pt>
                <c:pt idx="23" formatCode="0.0">
                  <c:v>11.776815110032922</c:v>
                </c:pt>
                <c:pt idx="24" formatCode="0.0">
                  <c:v>11.776815110032922</c:v>
                </c:pt>
                <c:pt idx="25" formatCode="0.0">
                  <c:v>11.776815110032922</c:v>
                </c:pt>
                <c:pt idx="26" formatCode="0.0">
                  <c:v>11.56472015248657</c:v>
                </c:pt>
                <c:pt idx="27" formatCode="0.0">
                  <c:v>11.56472015248657</c:v>
                </c:pt>
                <c:pt idx="28" formatCode="0.0">
                  <c:v>11.56472015248657</c:v>
                </c:pt>
                <c:pt idx="29" formatCode="0.0">
                  <c:v>11.56472015248657</c:v>
                </c:pt>
                <c:pt idx="30" formatCode="0.0">
                  <c:v>11.56472015248657</c:v>
                </c:pt>
                <c:pt idx="31" formatCode="0.0">
                  <c:v>15.155778894472363</c:v>
                </c:pt>
                <c:pt idx="32" formatCode="0.0">
                  <c:v>15.155778894472363</c:v>
                </c:pt>
                <c:pt idx="33" formatCode="0.0">
                  <c:v>15.155778894472363</c:v>
                </c:pt>
                <c:pt idx="34" formatCode="0.0">
                  <c:v>15.155778894472363</c:v>
                </c:pt>
                <c:pt idx="35" formatCode="0.0">
                  <c:v>12.851152313290591</c:v>
                </c:pt>
                <c:pt idx="36" formatCode="0.0">
                  <c:v>12.851152313290591</c:v>
                </c:pt>
                <c:pt idx="37" formatCode="0.0">
                  <c:v>12.851152313290591</c:v>
                </c:pt>
                <c:pt idx="38" formatCode="0.0">
                  <c:v>12.851152313290591</c:v>
                </c:pt>
                <c:pt idx="39" formatCode="0.0">
                  <c:v>5.6849766071737999</c:v>
                </c:pt>
                <c:pt idx="40" formatCode="0.0">
                  <c:v>5.6849766071737999</c:v>
                </c:pt>
                <c:pt idx="41" formatCode="0.0">
                  <c:v>5.6849766071737999</c:v>
                </c:pt>
                <c:pt idx="42" formatCode="0.0">
                  <c:v>5.6849766071737999</c:v>
                </c:pt>
                <c:pt idx="43" formatCode="0.0">
                  <c:v>4.0189453012187375</c:v>
                </c:pt>
                <c:pt idx="44" formatCode="0.0">
                  <c:v>4.0189453012187375</c:v>
                </c:pt>
                <c:pt idx="45" formatCode="0.0">
                  <c:v>4.0189453012187375</c:v>
                </c:pt>
                <c:pt idx="46" formatCode="0.0">
                  <c:v>4.0189453012187375</c:v>
                </c:pt>
                <c:pt idx="47" formatCode="0.0">
                  <c:v>4.0189453012187375</c:v>
                </c:pt>
                <c:pt idx="48" formatCode="0.0">
                  <c:v>2.8996819469986188</c:v>
                </c:pt>
                <c:pt idx="49" formatCode="0.0">
                  <c:v>2.8996819469986188</c:v>
                </c:pt>
                <c:pt idx="50" formatCode="0.0">
                  <c:v>2.8996819469986188</c:v>
                </c:pt>
                <c:pt idx="51" formatCode="0.0">
                  <c:v>2.8996819469986188</c:v>
                </c:pt>
                <c:pt idx="52" formatCode="0.0">
                  <c:v>1.7566915034944839</c:v>
                </c:pt>
                <c:pt idx="53" formatCode="0.0">
                  <c:v>1.7566915034944839</c:v>
                </c:pt>
                <c:pt idx="54" formatCode="0.0">
                  <c:v>1.7566915034944839</c:v>
                </c:pt>
                <c:pt idx="55" formatCode="0.0">
                  <c:v>1.7566915034944839</c:v>
                </c:pt>
                <c:pt idx="56" formatCode="0.0">
                  <c:v>1.3259624037875697</c:v>
                </c:pt>
                <c:pt idx="57" formatCode="0.0">
                  <c:v>1.3259624037875697</c:v>
                </c:pt>
              </c:numCache>
            </c:numRef>
          </c:val>
          <c:smooth val="0"/>
          <c:extLst>
            <c:ext xmlns:c16="http://schemas.microsoft.com/office/drawing/2014/chart" uri="{C3380CC4-5D6E-409C-BE32-E72D297353CC}">
              <c16:uniqueId val="{00000001-4681-4EBE-9924-A1D8003B7511}"/>
            </c:ext>
          </c:extLst>
        </c:ser>
        <c:dLbls>
          <c:showLegendKey val="0"/>
          <c:showVal val="0"/>
          <c:showCatName val="0"/>
          <c:showSerName val="0"/>
          <c:showPercent val="0"/>
          <c:showBubbleSize val="0"/>
        </c:dLbls>
        <c:smooth val="0"/>
        <c:axId val="387974712"/>
        <c:axId val="387978976"/>
      </c:lineChart>
      <c:catAx>
        <c:axId val="387974712"/>
        <c:scaling>
          <c:orientation val="minMax"/>
        </c:scaling>
        <c:delete val="0"/>
        <c:axPos val="b"/>
        <c:numFmt formatCode="m/d;@"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8976"/>
        <c:crosses val="autoZero"/>
        <c:auto val="0"/>
        <c:lblAlgn val="ctr"/>
        <c:lblOffset val="100"/>
        <c:tickLblSkip val="4"/>
        <c:tickMarkSkip val="1"/>
        <c:noMultiLvlLbl val="0"/>
      </c:catAx>
      <c:valAx>
        <c:axId val="387978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4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Heat!$B$11:$B$14</c:f>
              <c:numCache>
                <c:formatCode>General</c:formatCode>
                <c:ptCount val="4"/>
                <c:pt idx="0">
                  <c:v>0</c:v>
                </c:pt>
                <c:pt idx="1">
                  <c:v>3</c:v>
                </c:pt>
                <c:pt idx="2">
                  <c:v>5</c:v>
                </c:pt>
                <c:pt idx="3">
                  <c:v>20</c:v>
                </c:pt>
              </c:numCache>
            </c:numRef>
          </c:cat>
          <c:val>
            <c:numRef>
              <c:f>Heat!$A$11:$A$14</c:f>
              <c:numCache>
                <c:formatCode>General</c:formatCode>
                <c:ptCount val="4"/>
                <c:pt idx="0">
                  <c:v>170</c:v>
                </c:pt>
                <c:pt idx="1">
                  <c:v>149</c:v>
                </c:pt>
                <c:pt idx="2">
                  <c:v>131</c:v>
                </c:pt>
                <c:pt idx="3">
                  <c:v>122</c:v>
                </c:pt>
              </c:numCache>
            </c:numRef>
          </c:val>
          <c:smooth val="0"/>
          <c:extLst>
            <c:ext xmlns:c16="http://schemas.microsoft.com/office/drawing/2014/chart" uri="{C3380CC4-5D6E-409C-BE32-E72D297353CC}">
              <c16:uniqueId val="{00000000-18AD-4E8E-8EE6-5A86D2464C47}"/>
            </c:ext>
          </c:extLst>
        </c:ser>
        <c:dLbls>
          <c:showLegendKey val="0"/>
          <c:showVal val="0"/>
          <c:showCatName val="0"/>
          <c:showSerName val="0"/>
          <c:showPercent val="0"/>
          <c:showBubbleSize val="0"/>
        </c:dLbls>
        <c:smooth val="0"/>
        <c:axId val="339900040"/>
        <c:axId val="339897416"/>
      </c:lineChart>
      <c:catAx>
        <c:axId val="3399000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897416"/>
        <c:crosses val="autoZero"/>
        <c:auto val="1"/>
        <c:lblAlgn val="ctr"/>
        <c:lblOffset val="100"/>
        <c:noMultiLvlLbl val="0"/>
      </c:catAx>
      <c:valAx>
        <c:axId val="339897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900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D per 1000</c:v>
          </c:tx>
          <c:spPr>
            <a:ln w="12700" cap="rnd">
              <a:solidFill>
                <a:schemeClr val="tx1"/>
              </a:solidFill>
              <a:round/>
            </a:ln>
            <a:effectLst/>
          </c:spPr>
          <c:marker>
            <c:symbol val="none"/>
          </c:marker>
          <c:cat>
            <c:numRef>
              <c:f>'2020-2'!$A$2:$A$42</c:f>
              <c:numCache>
                <c:formatCode>m/d/yyyy</c:formatCode>
                <c:ptCount val="41"/>
                <c:pt idx="0">
                  <c:v>6755</c:v>
                </c:pt>
                <c:pt idx="1">
                  <c:v>6762</c:v>
                </c:pt>
                <c:pt idx="2">
                  <c:v>6769</c:v>
                </c:pt>
                <c:pt idx="3">
                  <c:v>6776</c:v>
                </c:pt>
                <c:pt idx="4">
                  <c:v>6783</c:v>
                </c:pt>
                <c:pt idx="5">
                  <c:v>6790</c:v>
                </c:pt>
                <c:pt idx="6">
                  <c:v>6797</c:v>
                </c:pt>
                <c:pt idx="7">
                  <c:v>6804</c:v>
                </c:pt>
                <c:pt idx="8">
                  <c:v>6811</c:v>
                </c:pt>
                <c:pt idx="9">
                  <c:v>6818</c:v>
                </c:pt>
                <c:pt idx="10">
                  <c:v>6825</c:v>
                </c:pt>
                <c:pt idx="11">
                  <c:v>6832</c:v>
                </c:pt>
                <c:pt idx="12">
                  <c:v>6839</c:v>
                </c:pt>
                <c:pt idx="13">
                  <c:v>6846</c:v>
                </c:pt>
                <c:pt idx="14">
                  <c:v>6853</c:v>
                </c:pt>
                <c:pt idx="15">
                  <c:v>6860</c:v>
                </c:pt>
                <c:pt idx="16">
                  <c:v>6867</c:v>
                </c:pt>
                <c:pt idx="17">
                  <c:v>6874</c:v>
                </c:pt>
                <c:pt idx="18">
                  <c:v>6881</c:v>
                </c:pt>
                <c:pt idx="19">
                  <c:v>6888</c:v>
                </c:pt>
                <c:pt idx="20">
                  <c:v>6895</c:v>
                </c:pt>
                <c:pt idx="21">
                  <c:v>6902</c:v>
                </c:pt>
                <c:pt idx="22">
                  <c:v>6909</c:v>
                </c:pt>
                <c:pt idx="23">
                  <c:v>6916</c:v>
                </c:pt>
                <c:pt idx="24">
                  <c:v>6923</c:v>
                </c:pt>
                <c:pt idx="25">
                  <c:v>6930</c:v>
                </c:pt>
                <c:pt idx="26">
                  <c:v>6937</c:v>
                </c:pt>
                <c:pt idx="27">
                  <c:v>6944</c:v>
                </c:pt>
                <c:pt idx="28">
                  <c:v>6951</c:v>
                </c:pt>
                <c:pt idx="29">
                  <c:v>6958</c:v>
                </c:pt>
                <c:pt idx="30">
                  <c:v>6965</c:v>
                </c:pt>
                <c:pt idx="31">
                  <c:v>6972</c:v>
                </c:pt>
                <c:pt idx="32">
                  <c:v>6979</c:v>
                </c:pt>
                <c:pt idx="33">
                  <c:v>6986</c:v>
                </c:pt>
                <c:pt idx="34">
                  <c:v>6993</c:v>
                </c:pt>
                <c:pt idx="35">
                  <c:v>7000</c:v>
                </c:pt>
                <c:pt idx="36">
                  <c:v>7007</c:v>
                </c:pt>
                <c:pt idx="37">
                  <c:v>7014</c:v>
                </c:pt>
                <c:pt idx="38">
                  <c:v>7021</c:v>
                </c:pt>
                <c:pt idx="39">
                  <c:v>7028</c:v>
                </c:pt>
                <c:pt idx="40">
                  <c:v>7035</c:v>
                </c:pt>
              </c:numCache>
            </c:numRef>
          </c:cat>
          <c:val>
            <c:numRef>
              <c:f>'2020-2'!$B$2:$B$45</c:f>
              <c:numCache>
                <c:formatCode>General</c:formatCode>
                <c:ptCount val="44"/>
                <c:pt idx="0">
                  <c:v>0</c:v>
                </c:pt>
                <c:pt idx="1">
                  <c:v>4</c:v>
                </c:pt>
                <c:pt idx="2">
                  <c:v>5</c:v>
                </c:pt>
                <c:pt idx="3">
                  <c:v>4.5</c:v>
                </c:pt>
                <c:pt idx="4">
                  <c:v>2</c:v>
                </c:pt>
                <c:pt idx="5">
                  <c:v>1</c:v>
                </c:pt>
                <c:pt idx="6">
                  <c:v>0.5</c:v>
                </c:pt>
                <c:pt idx="7">
                  <c:v>1</c:v>
                </c:pt>
                <c:pt idx="8">
                  <c:v>1</c:v>
                </c:pt>
                <c:pt idx="9">
                  <c:v>1</c:v>
                </c:pt>
                <c:pt idx="10">
                  <c:v>1</c:v>
                </c:pt>
                <c:pt idx="11">
                  <c:v>1</c:v>
                </c:pt>
                <c:pt idx="12">
                  <c:v>1</c:v>
                </c:pt>
                <c:pt idx="13">
                  <c:v>1</c:v>
                </c:pt>
                <c:pt idx="14">
                  <c:v>3</c:v>
                </c:pt>
                <c:pt idx="15">
                  <c:v>5</c:v>
                </c:pt>
                <c:pt idx="16">
                  <c:v>8</c:v>
                </c:pt>
                <c:pt idx="17">
                  <c:v>12</c:v>
                </c:pt>
                <c:pt idx="18">
                  <c:v>22</c:v>
                </c:pt>
                <c:pt idx="19">
                  <c:v>24</c:v>
                </c:pt>
                <c:pt idx="20">
                  <c:v>19</c:v>
                </c:pt>
                <c:pt idx="21">
                  <c:v>18</c:v>
                </c:pt>
                <c:pt idx="22">
                  <c:v>17</c:v>
                </c:pt>
                <c:pt idx="23">
                  <c:v>12</c:v>
                </c:pt>
                <c:pt idx="24">
                  <c:v>6</c:v>
                </c:pt>
                <c:pt idx="25">
                  <c:v>4</c:v>
                </c:pt>
                <c:pt idx="26">
                  <c:v>2</c:v>
                </c:pt>
                <c:pt idx="27">
                  <c:v>1.5</c:v>
                </c:pt>
                <c:pt idx="28">
                  <c:v>1.5</c:v>
                </c:pt>
                <c:pt idx="29">
                  <c:v>1.2</c:v>
                </c:pt>
                <c:pt idx="30">
                  <c:v>1</c:v>
                </c:pt>
                <c:pt idx="31">
                  <c:v>1.2</c:v>
                </c:pt>
                <c:pt idx="32">
                  <c:v>2.5</c:v>
                </c:pt>
                <c:pt idx="33">
                  <c:v>6</c:v>
                </c:pt>
                <c:pt idx="34">
                  <c:v>9</c:v>
                </c:pt>
                <c:pt idx="35">
                  <c:v>11.5</c:v>
                </c:pt>
                <c:pt idx="36">
                  <c:v>10</c:v>
                </c:pt>
                <c:pt idx="37">
                  <c:v>8</c:v>
                </c:pt>
                <c:pt idx="38">
                  <c:v>5</c:v>
                </c:pt>
                <c:pt idx="39">
                  <c:v>4</c:v>
                </c:pt>
                <c:pt idx="40">
                  <c:v>3</c:v>
                </c:pt>
                <c:pt idx="41">
                  <c:v>4</c:v>
                </c:pt>
                <c:pt idx="42">
                  <c:v>2</c:v>
                </c:pt>
                <c:pt idx="43">
                  <c:v>1</c:v>
                </c:pt>
              </c:numCache>
            </c:numRef>
          </c:val>
          <c:smooth val="0"/>
          <c:extLst>
            <c:ext xmlns:c16="http://schemas.microsoft.com/office/drawing/2014/chart" uri="{C3380CC4-5D6E-409C-BE32-E72D297353CC}">
              <c16:uniqueId val="{00000000-C53A-4FE3-8DAB-78DD46400864}"/>
            </c:ext>
          </c:extLst>
        </c:ser>
        <c:dLbls>
          <c:showLegendKey val="0"/>
          <c:showVal val="0"/>
          <c:showCatName val="0"/>
          <c:showSerName val="0"/>
          <c:showPercent val="0"/>
          <c:showBubbleSize val="0"/>
        </c:dLbls>
        <c:smooth val="0"/>
        <c:axId val="387974712"/>
        <c:axId val="387978976"/>
      </c:lineChart>
      <c:catAx>
        <c:axId val="387974712"/>
        <c:scaling>
          <c:orientation val="minMax"/>
        </c:scaling>
        <c:delete val="0"/>
        <c:axPos val="b"/>
        <c:numFmt formatCode="m/d;@"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8976"/>
        <c:crosses val="autoZero"/>
        <c:auto val="0"/>
        <c:lblAlgn val="ctr"/>
        <c:lblOffset val="100"/>
        <c:tickLblSkip val="4"/>
        <c:tickMarkSkip val="1"/>
        <c:noMultiLvlLbl val="0"/>
      </c:catAx>
      <c:valAx>
        <c:axId val="387978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4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2700" cap="rnd">
              <a:solidFill>
                <a:schemeClr val="tx1"/>
              </a:solidFill>
              <a:round/>
            </a:ln>
            <a:effectLst/>
          </c:spPr>
          <c:marker>
            <c:symbol val="none"/>
          </c:marker>
          <c:cat>
            <c:numRef>
              <c:f>'2020-2'!$A$68:$A$108</c:f>
              <c:numCache>
                <c:formatCode>m/d/yyyy</c:formatCode>
                <c:ptCount val="41"/>
                <c:pt idx="0">
                  <c:v>44011</c:v>
                </c:pt>
                <c:pt idx="1">
                  <c:v>44018</c:v>
                </c:pt>
                <c:pt idx="2">
                  <c:v>44025</c:v>
                </c:pt>
                <c:pt idx="3">
                  <c:v>44032</c:v>
                </c:pt>
                <c:pt idx="4">
                  <c:v>44039</c:v>
                </c:pt>
                <c:pt idx="5">
                  <c:v>44046</c:v>
                </c:pt>
                <c:pt idx="6">
                  <c:v>44053</c:v>
                </c:pt>
                <c:pt idx="7">
                  <c:v>44060</c:v>
                </c:pt>
                <c:pt idx="8">
                  <c:v>44067</c:v>
                </c:pt>
                <c:pt idx="9">
                  <c:v>44074</c:v>
                </c:pt>
                <c:pt idx="10">
                  <c:v>44081</c:v>
                </c:pt>
                <c:pt idx="11">
                  <c:v>44088</c:v>
                </c:pt>
                <c:pt idx="12">
                  <c:v>44095</c:v>
                </c:pt>
                <c:pt idx="13">
                  <c:v>44102</c:v>
                </c:pt>
                <c:pt idx="14">
                  <c:v>44109</c:v>
                </c:pt>
                <c:pt idx="15">
                  <c:v>44116</c:v>
                </c:pt>
                <c:pt idx="16">
                  <c:v>44123</c:v>
                </c:pt>
                <c:pt idx="17">
                  <c:v>44130</c:v>
                </c:pt>
                <c:pt idx="18">
                  <c:v>44137</c:v>
                </c:pt>
                <c:pt idx="19">
                  <c:v>44144</c:v>
                </c:pt>
                <c:pt idx="20">
                  <c:v>44151</c:v>
                </c:pt>
                <c:pt idx="21">
                  <c:v>44158</c:v>
                </c:pt>
                <c:pt idx="22">
                  <c:v>44165</c:v>
                </c:pt>
                <c:pt idx="23">
                  <c:v>44172</c:v>
                </c:pt>
                <c:pt idx="24">
                  <c:v>44179</c:v>
                </c:pt>
                <c:pt idx="25">
                  <c:v>44186</c:v>
                </c:pt>
                <c:pt idx="26">
                  <c:v>44193</c:v>
                </c:pt>
                <c:pt idx="27">
                  <c:v>44200</c:v>
                </c:pt>
                <c:pt idx="28">
                  <c:v>44207</c:v>
                </c:pt>
                <c:pt idx="29">
                  <c:v>44214</c:v>
                </c:pt>
                <c:pt idx="30">
                  <c:v>44221</c:v>
                </c:pt>
                <c:pt idx="31">
                  <c:v>44228</c:v>
                </c:pt>
                <c:pt idx="32">
                  <c:v>44235</c:v>
                </c:pt>
                <c:pt idx="33">
                  <c:v>44242</c:v>
                </c:pt>
                <c:pt idx="34">
                  <c:v>44249</c:v>
                </c:pt>
                <c:pt idx="35">
                  <c:v>44256</c:v>
                </c:pt>
                <c:pt idx="36">
                  <c:v>44263</c:v>
                </c:pt>
                <c:pt idx="37">
                  <c:v>44270</c:v>
                </c:pt>
                <c:pt idx="38">
                  <c:v>44277</c:v>
                </c:pt>
                <c:pt idx="39">
                  <c:v>44284</c:v>
                </c:pt>
                <c:pt idx="40">
                  <c:v>44291</c:v>
                </c:pt>
              </c:numCache>
            </c:numRef>
          </c:cat>
          <c:val>
            <c:numRef>
              <c:f>'2020-2'!$B$68:$B$111</c:f>
              <c:numCache>
                <c:formatCode>General</c:formatCode>
                <c:ptCount val="44"/>
                <c:pt idx="0">
                  <c:v>0</c:v>
                </c:pt>
                <c:pt idx="1">
                  <c:v>4</c:v>
                </c:pt>
                <c:pt idx="2">
                  <c:v>5</c:v>
                </c:pt>
                <c:pt idx="3">
                  <c:v>4.5</c:v>
                </c:pt>
                <c:pt idx="4">
                  <c:v>2</c:v>
                </c:pt>
                <c:pt idx="5">
                  <c:v>1</c:v>
                </c:pt>
                <c:pt idx="6">
                  <c:v>0.5</c:v>
                </c:pt>
                <c:pt idx="7">
                  <c:v>1</c:v>
                </c:pt>
                <c:pt idx="8">
                  <c:v>1</c:v>
                </c:pt>
                <c:pt idx="9">
                  <c:v>1</c:v>
                </c:pt>
                <c:pt idx="10">
                  <c:v>1</c:v>
                </c:pt>
                <c:pt idx="11">
                  <c:v>1</c:v>
                </c:pt>
                <c:pt idx="12">
                  <c:v>1</c:v>
                </c:pt>
                <c:pt idx="13">
                  <c:v>1</c:v>
                </c:pt>
                <c:pt idx="14">
                  <c:v>3</c:v>
                </c:pt>
                <c:pt idx="15">
                  <c:v>5</c:v>
                </c:pt>
                <c:pt idx="16">
                  <c:v>8</c:v>
                </c:pt>
                <c:pt idx="17">
                  <c:v>12</c:v>
                </c:pt>
                <c:pt idx="18">
                  <c:v>22</c:v>
                </c:pt>
                <c:pt idx="19">
                  <c:v>24</c:v>
                </c:pt>
                <c:pt idx="20">
                  <c:v>19</c:v>
                </c:pt>
                <c:pt idx="21">
                  <c:v>18</c:v>
                </c:pt>
                <c:pt idx="22">
                  <c:v>17</c:v>
                </c:pt>
                <c:pt idx="23">
                  <c:v>12</c:v>
                </c:pt>
                <c:pt idx="24">
                  <c:v>6</c:v>
                </c:pt>
                <c:pt idx="25">
                  <c:v>4</c:v>
                </c:pt>
                <c:pt idx="26">
                  <c:v>2</c:v>
                </c:pt>
                <c:pt idx="27">
                  <c:v>1.5</c:v>
                </c:pt>
                <c:pt idx="28">
                  <c:v>1.5</c:v>
                </c:pt>
                <c:pt idx="29">
                  <c:v>1.2</c:v>
                </c:pt>
                <c:pt idx="30">
                  <c:v>1</c:v>
                </c:pt>
                <c:pt idx="31">
                  <c:v>1.2</c:v>
                </c:pt>
                <c:pt idx="32">
                  <c:v>2.5</c:v>
                </c:pt>
                <c:pt idx="33">
                  <c:v>6</c:v>
                </c:pt>
                <c:pt idx="34">
                  <c:v>9</c:v>
                </c:pt>
                <c:pt idx="35">
                  <c:v>11.5</c:v>
                </c:pt>
                <c:pt idx="36">
                  <c:v>10</c:v>
                </c:pt>
                <c:pt idx="37">
                  <c:v>8</c:v>
                </c:pt>
                <c:pt idx="38">
                  <c:v>5</c:v>
                </c:pt>
                <c:pt idx="39">
                  <c:v>4</c:v>
                </c:pt>
                <c:pt idx="40">
                  <c:v>3</c:v>
                </c:pt>
                <c:pt idx="41">
                  <c:v>4</c:v>
                </c:pt>
                <c:pt idx="42">
                  <c:v>2</c:v>
                </c:pt>
                <c:pt idx="43">
                  <c:v>1</c:v>
                </c:pt>
              </c:numCache>
            </c:numRef>
          </c:val>
          <c:smooth val="0"/>
          <c:extLst>
            <c:ext xmlns:c16="http://schemas.microsoft.com/office/drawing/2014/chart" uri="{C3380CC4-5D6E-409C-BE32-E72D297353CC}">
              <c16:uniqueId val="{00000000-7CDA-4198-AECF-AB390DE25209}"/>
            </c:ext>
          </c:extLst>
        </c:ser>
        <c:ser>
          <c:idx val="1"/>
          <c:order val="1"/>
          <c:tx>
            <c:v>2020</c:v>
          </c:tx>
          <c:spPr>
            <a:ln w="28575" cap="rnd">
              <a:solidFill>
                <a:schemeClr val="accent2"/>
              </a:solidFill>
              <a:round/>
            </a:ln>
            <a:effectLst/>
          </c:spPr>
          <c:marker>
            <c:symbol val="none"/>
          </c:marker>
          <c:cat>
            <c:numRef>
              <c:f>'2020-2'!$A$68:$A$108</c:f>
              <c:numCache>
                <c:formatCode>m/d/yyyy</c:formatCode>
                <c:ptCount val="41"/>
                <c:pt idx="0">
                  <c:v>44011</c:v>
                </c:pt>
                <c:pt idx="1">
                  <c:v>44018</c:v>
                </c:pt>
                <c:pt idx="2">
                  <c:v>44025</c:v>
                </c:pt>
                <c:pt idx="3">
                  <c:v>44032</c:v>
                </c:pt>
                <c:pt idx="4">
                  <c:v>44039</c:v>
                </c:pt>
                <c:pt idx="5">
                  <c:v>44046</c:v>
                </c:pt>
                <c:pt idx="6">
                  <c:v>44053</c:v>
                </c:pt>
                <c:pt idx="7">
                  <c:v>44060</c:v>
                </c:pt>
                <c:pt idx="8">
                  <c:v>44067</c:v>
                </c:pt>
                <c:pt idx="9">
                  <c:v>44074</c:v>
                </c:pt>
                <c:pt idx="10">
                  <c:v>44081</c:v>
                </c:pt>
                <c:pt idx="11">
                  <c:v>44088</c:v>
                </c:pt>
                <c:pt idx="12">
                  <c:v>44095</c:v>
                </c:pt>
                <c:pt idx="13">
                  <c:v>44102</c:v>
                </c:pt>
                <c:pt idx="14">
                  <c:v>44109</c:v>
                </c:pt>
                <c:pt idx="15">
                  <c:v>44116</c:v>
                </c:pt>
                <c:pt idx="16">
                  <c:v>44123</c:v>
                </c:pt>
                <c:pt idx="17">
                  <c:v>44130</c:v>
                </c:pt>
                <c:pt idx="18">
                  <c:v>44137</c:v>
                </c:pt>
                <c:pt idx="19">
                  <c:v>44144</c:v>
                </c:pt>
                <c:pt idx="20">
                  <c:v>44151</c:v>
                </c:pt>
                <c:pt idx="21">
                  <c:v>44158</c:v>
                </c:pt>
                <c:pt idx="22">
                  <c:v>44165</c:v>
                </c:pt>
                <c:pt idx="23">
                  <c:v>44172</c:v>
                </c:pt>
                <c:pt idx="24">
                  <c:v>44179</c:v>
                </c:pt>
                <c:pt idx="25">
                  <c:v>44186</c:v>
                </c:pt>
                <c:pt idx="26">
                  <c:v>44193</c:v>
                </c:pt>
                <c:pt idx="27">
                  <c:v>44200</c:v>
                </c:pt>
                <c:pt idx="28">
                  <c:v>44207</c:v>
                </c:pt>
                <c:pt idx="29">
                  <c:v>44214</c:v>
                </c:pt>
                <c:pt idx="30">
                  <c:v>44221</c:v>
                </c:pt>
                <c:pt idx="31">
                  <c:v>44228</c:v>
                </c:pt>
                <c:pt idx="32">
                  <c:v>44235</c:v>
                </c:pt>
                <c:pt idx="33">
                  <c:v>44242</c:v>
                </c:pt>
                <c:pt idx="34">
                  <c:v>44249</c:v>
                </c:pt>
                <c:pt idx="35">
                  <c:v>44256</c:v>
                </c:pt>
                <c:pt idx="36">
                  <c:v>44263</c:v>
                </c:pt>
                <c:pt idx="37">
                  <c:v>44270</c:v>
                </c:pt>
                <c:pt idx="38">
                  <c:v>44277</c:v>
                </c:pt>
                <c:pt idx="39">
                  <c:v>44284</c:v>
                </c:pt>
                <c:pt idx="40">
                  <c:v>44291</c:v>
                </c:pt>
              </c:numCache>
            </c:numRef>
          </c:cat>
          <c:val>
            <c:numRef>
              <c:f>'2020-2'!$D$68:$D$111</c:f>
              <c:numCache>
                <c:formatCode>General</c:formatCode>
                <c:ptCount val="44"/>
                <c:pt idx="0">
                  <c:v>0</c:v>
                </c:pt>
                <c:pt idx="1">
                  <c:v>4</c:v>
                </c:pt>
                <c:pt idx="2">
                  <c:v>5</c:v>
                </c:pt>
                <c:pt idx="3">
                  <c:v>4.5</c:v>
                </c:pt>
                <c:pt idx="4">
                  <c:v>2</c:v>
                </c:pt>
                <c:pt idx="5" formatCode="0.0">
                  <c:v>5.486050944377058</c:v>
                </c:pt>
                <c:pt idx="6" formatCode="0.0">
                  <c:v>2.743025472188529</c:v>
                </c:pt>
                <c:pt idx="7" formatCode="0.0">
                  <c:v>5.486050944377058</c:v>
                </c:pt>
                <c:pt idx="8" formatCode="0.0">
                  <c:v>5.486050944377058</c:v>
                </c:pt>
                <c:pt idx="9" formatCode="0.0">
                  <c:v>5.486050944377058</c:v>
                </c:pt>
                <c:pt idx="10" formatCode="0.0">
                  <c:v>3.7768151100329233</c:v>
                </c:pt>
                <c:pt idx="11" formatCode="0.0">
                  <c:v>3.7768151100329233</c:v>
                </c:pt>
                <c:pt idx="12" formatCode="0.0">
                  <c:v>3.7768151100329233</c:v>
                </c:pt>
                <c:pt idx="13" formatCode="0.0">
                  <c:v>3.7768151100329233</c:v>
                </c:pt>
                <c:pt idx="14" formatCode="0.0">
                  <c:v>2.9942817535955641</c:v>
                </c:pt>
                <c:pt idx="15" formatCode="0.0">
                  <c:v>4.9904695893259401</c:v>
                </c:pt>
                <c:pt idx="16" formatCode="0.0">
                  <c:v>7.9847513429215038</c:v>
                </c:pt>
                <c:pt idx="17" formatCode="0.0">
                  <c:v>11.977127014382257</c:v>
                </c:pt>
                <c:pt idx="18" formatCode="0.0">
                  <c:v>21.958066193034135</c:v>
                </c:pt>
                <c:pt idx="19" formatCode="0.0">
                  <c:v>23.954254028764513</c:v>
                </c:pt>
                <c:pt idx="20" formatCode="0.0">
                  <c:v>18.963784439438573</c:v>
                </c:pt>
                <c:pt idx="21" formatCode="0.0">
                  <c:v>17.965690521573386</c:v>
                </c:pt>
                <c:pt idx="22" formatCode="0.0">
                  <c:v>16.967596603708195</c:v>
                </c:pt>
                <c:pt idx="23" formatCode="0.0">
                  <c:v>11.977127014382257</c:v>
                </c:pt>
                <c:pt idx="24" formatCode="0.0">
                  <c:v>5.9885635071911283</c:v>
                </c:pt>
                <c:pt idx="25" formatCode="0.0">
                  <c:v>3.9923756714607519</c:v>
                </c:pt>
                <c:pt idx="26" formatCode="0.0">
                  <c:v>1.9961878357303759</c:v>
                </c:pt>
                <c:pt idx="27" formatCode="0.0">
                  <c:v>1.4971408767977821</c:v>
                </c:pt>
                <c:pt idx="28" formatCode="0.0">
                  <c:v>1.4971408767977821</c:v>
                </c:pt>
                <c:pt idx="29" formatCode="0.0">
                  <c:v>1.1977127014382256</c:v>
                </c:pt>
                <c:pt idx="30" formatCode="0.0">
                  <c:v>0.99809391786518797</c:v>
                </c:pt>
                <c:pt idx="31" formatCode="0.0">
                  <c:v>1.1977127014382256</c:v>
                </c:pt>
                <c:pt idx="32" formatCode="0.0">
                  <c:v>2.49523479466297</c:v>
                </c:pt>
                <c:pt idx="33" formatCode="0.0">
                  <c:v>5.9885635071911283</c:v>
                </c:pt>
                <c:pt idx="34" formatCode="0.0">
                  <c:v>8.9828452607866929</c:v>
                </c:pt>
                <c:pt idx="35" formatCode="0.0">
                  <c:v>11.478080055449663</c:v>
                </c:pt>
                <c:pt idx="36" formatCode="0.0">
                  <c:v>9.9809391786518802</c:v>
                </c:pt>
                <c:pt idx="37" formatCode="0.0">
                  <c:v>7.9847513429215038</c:v>
                </c:pt>
                <c:pt idx="38" formatCode="0.0">
                  <c:v>4.9904695893259401</c:v>
                </c:pt>
                <c:pt idx="39" formatCode="0.0">
                  <c:v>3.9923756714607519</c:v>
                </c:pt>
                <c:pt idx="40" formatCode="0.0">
                  <c:v>2.9942817535955641</c:v>
                </c:pt>
                <c:pt idx="41" formatCode="0.0">
                  <c:v>3.9923756714607519</c:v>
                </c:pt>
                <c:pt idx="42" formatCode="0.0">
                  <c:v>1.9961878357303759</c:v>
                </c:pt>
                <c:pt idx="43" formatCode="0.0">
                  <c:v>0.99809391786518797</c:v>
                </c:pt>
              </c:numCache>
            </c:numRef>
          </c:val>
          <c:smooth val="0"/>
          <c:extLst>
            <c:ext xmlns:c16="http://schemas.microsoft.com/office/drawing/2014/chart" uri="{C3380CC4-5D6E-409C-BE32-E72D297353CC}">
              <c16:uniqueId val="{00000001-7CDA-4198-AECF-AB390DE25209}"/>
            </c:ext>
          </c:extLst>
        </c:ser>
        <c:dLbls>
          <c:showLegendKey val="0"/>
          <c:showVal val="0"/>
          <c:showCatName val="0"/>
          <c:showSerName val="0"/>
          <c:showPercent val="0"/>
          <c:showBubbleSize val="0"/>
        </c:dLbls>
        <c:smooth val="0"/>
        <c:axId val="387974712"/>
        <c:axId val="387978976"/>
      </c:lineChart>
      <c:catAx>
        <c:axId val="387974712"/>
        <c:scaling>
          <c:orientation val="minMax"/>
        </c:scaling>
        <c:delete val="0"/>
        <c:axPos val="b"/>
        <c:numFmt formatCode="m/d;@"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8976"/>
        <c:crosses val="autoZero"/>
        <c:auto val="0"/>
        <c:lblAlgn val="ctr"/>
        <c:lblOffset val="100"/>
        <c:tickLblSkip val="4"/>
        <c:tickMarkSkip val="1"/>
        <c:noMultiLvlLbl val="0"/>
      </c:catAx>
      <c:valAx>
        <c:axId val="387978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7974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3.gif"/></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3.gif"/></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3.gif"/><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11</xdr:col>
      <xdr:colOff>301481</xdr:colOff>
      <xdr:row>3</xdr:row>
      <xdr:rowOff>123825</xdr:rowOff>
    </xdr:from>
    <xdr:to>
      <xdr:col>16</xdr:col>
      <xdr:colOff>85130</xdr:colOff>
      <xdr:row>19</xdr:row>
      <xdr:rowOff>66046</xdr:rowOff>
    </xdr:to>
    <xdr:pic>
      <xdr:nvPicPr>
        <xdr:cNvPr id="2" name="Picture 1">
          <a:extLst>
            <a:ext uri="{FF2B5EF4-FFF2-40B4-BE49-F238E27FC236}">
              <a16:creationId xmlns:a16="http://schemas.microsoft.com/office/drawing/2014/main" id="{A804A02D-8FBB-4224-BD97-A93631CF8A68}"/>
            </a:ext>
          </a:extLst>
        </xdr:cNvPr>
        <xdr:cNvPicPr>
          <a:picLocks noChangeAspect="1"/>
        </xdr:cNvPicPr>
      </xdr:nvPicPr>
      <xdr:blipFill>
        <a:blip xmlns:r="http://schemas.openxmlformats.org/officeDocument/2006/relationships" r:embed="rId1"/>
        <a:stretch>
          <a:fillRect/>
        </a:stretch>
      </xdr:blipFill>
      <xdr:spPr>
        <a:xfrm>
          <a:off x="7007081" y="695325"/>
          <a:ext cx="2831649" cy="29902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361951</xdr:colOff>
      <xdr:row>106</xdr:row>
      <xdr:rowOff>104774</xdr:rowOff>
    </xdr:from>
    <xdr:to>
      <xdr:col>22</xdr:col>
      <xdr:colOff>400050</xdr:colOff>
      <xdr:row>123</xdr:row>
      <xdr:rowOff>180975</xdr:rowOff>
    </xdr:to>
    <xdr:graphicFrame macro="">
      <xdr:nvGraphicFramePr>
        <xdr:cNvPr id="2" name="Chart 1">
          <a:extLst>
            <a:ext uri="{FF2B5EF4-FFF2-40B4-BE49-F238E27FC236}">
              <a16:creationId xmlns:a16="http://schemas.microsoft.com/office/drawing/2014/main" id="{243C76F8-68C3-41A4-8950-CA2E567466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106</xdr:row>
      <xdr:rowOff>104775</xdr:rowOff>
    </xdr:from>
    <xdr:to>
      <xdr:col>8</xdr:col>
      <xdr:colOff>171450</xdr:colOff>
      <xdr:row>123</xdr:row>
      <xdr:rowOff>180974</xdr:rowOff>
    </xdr:to>
    <xdr:graphicFrame macro="">
      <xdr:nvGraphicFramePr>
        <xdr:cNvPr id="3" name="Chart 2">
          <a:extLst>
            <a:ext uri="{FF2B5EF4-FFF2-40B4-BE49-F238E27FC236}">
              <a16:creationId xmlns:a16="http://schemas.microsoft.com/office/drawing/2014/main" id="{9C873A9B-4A3F-4D83-A4F7-07342576CE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9525</xdr:colOff>
      <xdr:row>7</xdr:row>
      <xdr:rowOff>300037</xdr:rowOff>
    </xdr:from>
    <xdr:to>
      <xdr:col>30</xdr:col>
      <xdr:colOff>314325</xdr:colOff>
      <xdr:row>20</xdr:row>
      <xdr:rowOff>185737</xdr:rowOff>
    </xdr:to>
    <xdr:graphicFrame macro="">
      <xdr:nvGraphicFramePr>
        <xdr:cNvPr id="4" name="Chart 3">
          <a:extLst>
            <a:ext uri="{FF2B5EF4-FFF2-40B4-BE49-F238E27FC236}">
              <a16:creationId xmlns:a16="http://schemas.microsoft.com/office/drawing/2014/main" id="{A3CDC09D-4040-48C5-AA3F-A7DC4E7F4C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19050</xdr:colOff>
      <xdr:row>22</xdr:row>
      <xdr:rowOff>9525</xdr:rowOff>
    </xdr:from>
    <xdr:to>
      <xdr:col>30</xdr:col>
      <xdr:colOff>323850</xdr:colOff>
      <xdr:row>50</xdr:row>
      <xdr:rowOff>85725</xdr:rowOff>
    </xdr:to>
    <xdr:graphicFrame macro="">
      <xdr:nvGraphicFramePr>
        <xdr:cNvPr id="5" name="Chart 4">
          <a:extLst>
            <a:ext uri="{FF2B5EF4-FFF2-40B4-BE49-F238E27FC236}">
              <a16:creationId xmlns:a16="http://schemas.microsoft.com/office/drawing/2014/main" id="{14A97400-7CC5-4897-ADE9-3C06FD7B0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114300</xdr:colOff>
      <xdr:row>16</xdr:row>
      <xdr:rowOff>70182</xdr:rowOff>
    </xdr:from>
    <xdr:to>
      <xdr:col>18</xdr:col>
      <xdr:colOff>7143</xdr:colOff>
      <xdr:row>31</xdr:row>
      <xdr:rowOff>180351</xdr:rowOff>
    </xdr:to>
    <xdr:pic>
      <xdr:nvPicPr>
        <xdr:cNvPr id="2" name="Picture 1">
          <a:extLst>
            <a:ext uri="{FF2B5EF4-FFF2-40B4-BE49-F238E27FC236}">
              <a16:creationId xmlns:a16="http://schemas.microsoft.com/office/drawing/2014/main" id="{3888CCD6-A165-43BF-81A9-091A697BC4D8}"/>
            </a:ext>
          </a:extLst>
        </xdr:cNvPr>
        <xdr:cNvPicPr>
          <a:picLocks noChangeAspect="1"/>
        </xdr:cNvPicPr>
      </xdr:nvPicPr>
      <xdr:blipFill>
        <a:blip xmlns:r="http://schemas.openxmlformats.org/officeDocument/2006/relationships" r:embed="rId1"/>
        <a:stretch>
          <a:fillRect/>
        </a:stretch>
      </xdr:blipFill>
      <xdr:spPr>
        <a:xfrm>
          <a:off x="6467475" y="3689682"/>
          <a:ext cx="5379243" cy="3539169"/>
        </a:xfrm>
        <a:prstGeom prst="rect">
          <a:avLst/>
        </a:prstGeom>
      </xdr:spPr>
    </xdr:pic>
    <xdr:clientData/>
  </xdr:twoCellAnchor>
  <xdr:twoCellAnchor>
    <xdr:from>
      <xdr:col>10</xdr:col>
      <xdr:colOff>523875</xdr:colOff>
      <xdr:row>16</xdr:row>
      <xdr:rowOff>9525</xdr:rowOff>
    </xdr:from>
    <xdr:to>
      <xdr:col>10</xdr:col>
      <xdr:colOff>581025</xdr:colOff>
      <xdr:row>33</xdr:row>
      <xdr:rowOff>9526</xdr:rowOff>
    </xdr:to>
    <xdr:cxnSp macro="">
      <xdr:nvCxnSpPr>
        <xdr:cNvPr id="4" name="Straight Connector 3">
          <a:extLst>
            <a:ext uri="{FF2B5EF4-FFF2-40B4-BE49-F238E27FC236}">
              <a16:creationId xmlns:a16="http://schemas.microsoft.com/office/drawing/2014/main" id="{4D2CB5AF-A9B9-4D64-9888-8A3A9BA08574}"/>
            </a:ext>
          </a:extLst>
        </xdr:cNvPr>
        <xdr:cNvCxnSpPr/>
      </xdr:nvCxnSpPr>
      <xdr:spPr>
        <a:xfrm flipH="1" flipV="1">
          <a:off x="7486650" y="3629025"/>
          <a:ext cx="57150" cy="323850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361950</xdr:colOff>
      <xdr:row>16</xdr:row>
      <xdr:rowOff>19050</xdr:rowOff>
    </xdr:from>
    <xdr:to>
      <xdr:col>11</xdr:col>
      <xdr:colOff>419100</xdr:colOff>
      <xdr:row>33</xdr:row>
      <xdr:rowOff>19051</xdr:rowOff>
    </xdr:to>
    <xdr:cxnSp macro="">
      <xdr:nvCxnSpPr>
        <xdr:cNvPr id="6" name="Straight Connector 5">
          <a:extLst>
            <a:ext uri="{FF2B5EF4-FFF2-40B4-BE49-F238E27FC236}">
              <a16:creationId xmlns:a16="http://schemas.microsoft.com/office/drawing/2014/main" id="{9AFE8D90-B3A8-4BA5-AF87-EBC19E6DCF6D}"/>
            </a:ext>
          </a:extLst>
        </xdr:cNvPr>
        <xdr:cNvCxnSpPr/>
      </xdr:nvCxnSpPr>
      <xdr:spPr>
        <a:xfrm flipH="1" flipV="1">
          <a:off x="7934325" y="3638550"/>
          <a:ext cx="57150" cy="323850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200025</xdr:colOff>
      <xdr:row>16</xdr:row>
      <xdr:rowOff>9525</xdr:rowOff>
    </xdr:from>
    <xdr:to>
      <xdr:col>12</xdr:col>
      <xdr:colOff>257175</xdr:colOff>
      <xdr:row>33</xdr:row>
      <xdr:rowOff>9526</xdr:rowOff>
    </xdr:to>
    <xdr:cxnSp macro="">
      <xdr:nvCxnSpPr>
        <xdr:cNvPr id="7" name="Straight Connector 6">
          <a:extLst>
            <a:ext uri="{FF2B5EF4-FFF2-40B4-BE49-F238E27FC236}">
              <a16:creationId xmlns:a16="http://schemas.microsoft.com/office/drawing/2014/main" id="{30D42970-B3F9-49A5-837D-1B22DEE4B761}"/>
            </a:ext>
          </a:extLst>
        </xdr:cNvPr>
        <xdr:cNvCxnSpPr/>
      </xdr:nvCxnSpPr>
      <xdr:spPr>
        <a:xfrm flipH="1" flipV="1">
          <a:off x="8382000" y="3629025"/>
          <a:ext cx="57150" cy="323850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38100</xdr:colOff>
      <xdr:row>15</xdr:row>
      <xdr:rowOff>180975</xdr:rowOff>
    </xdr:from>
    <xdr:to>
      <xdr:col>13</xdr:col>
      <xdr:colOff>95250</xdr:colOff>
      <xdr:row>32</xdr:row>
      <xdr:rowOff>180976</xdr:rowOff>
    </xdr:to>
    <xdr:cxnSp macro="">
      <xdr:nvCxnSpPr>
        <xdr:cNvPr id="8" name="Straight Connector 7">
          <a:extLst>
            <a:ext uri="{FF2B5EF4-FFF2-40B4-BE49-F238E27FC236}">
              <a16:creationId xmlns:a16="http://schemas.microsoft.com/office/drawing/2014/main" id="{28C626CE-FC10-43C5-ACAB-5AB48834E92C}"/>
            </a:ext>
          </a:extLst>
        </xdr:cNvPr>
        <xdr:cNvCxnSpPr/>
      </xdr:nvCxnSpPr>
      <xdr:spPr>
        <a:xfrm flipH="1" flipV="1">
          <a:off x="8829675" y="3609975"/>
          <a:ext cx="57150" cy="323850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381000</xdr:colOff>
      <xdr:row>28</xdr:row>
      <xdr:rowOff>19050</xdr:rowOff>
    </xdr:from>
    <xdr:to>
      <xdr:col>13</xdr:col>
      <xdr:colOff>571500</xdr:colOff>
      <xdr:row>28</xdr:row>
      <xdr:rowOff>19053</xdr:rowOff>
    </xdr:to>
    <xdr:cxnSp macro="">
      <xdr:nvCxnSpPr>
        <xdr:cNvPr id="9" name="Straight Connector 8">
          <a:extLst>
            <a:ext uri="{FF2B5EF4-FFF2-40B4-BE49-F238E27FC236}">
              <a16:creationId xmlns:a16="http://schemas.microsoft.com/office/drawing/2014/main" id="{A4AF55AB-66E3-4FEF-988D-A28821A45F69}"/>
            </a:ext>
          </a:extLst>
        </xdr:cNvPr>
        <xdr:cNvCxnSpPr/>
      </xdr:nvCxnSpPr>
      <xdr:spPr>
        <a:xfrm flipH="1" flipV="1">
          <a:off x="6734175" y="6115050"/>
          <a:ext cx="2628900" cy="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9525</xdr:colOff>
      <xdr:row>26</xdr:row>
      <xdr:rowOff>38100</xdr:rowOff>
    </xdr:from>
    <xdr:to>
      <xdr:col>14</xdr:col>
      <xdr:colOff>200025</xdr:colOff>
      <xdr:row>26</xdr:row>
      <xdr:rowOff>38103</xdr:rowOff>
    </xdr:to>
    <xdr:cxnSp macro="">
      <xdr:nvCxnSpPr>
        <xdr:cNvPr id="12" name="Straight Connector 11">
          <a:extLst>
            <a:ext uri="{FF2B5EF4-FFF2-40B4-BE49-F238E27FC236}">
              <a16:creationId xmlns:a16="http://schemas.microsoft.com/office/drawing/2014/main" id="{2D230EBC-DC14-428C-9728-4402FCF7E825}"/>
            </a:ext>
          </a:extLst>
        </xdr:cNvPr>
        <xdr:cNvCxnSpPr/>
      </xdr:nvCxnSpPr>
      <xdr:spPr>
        <a:xfrm flipH="1" flipV="1">
          <a:off x="6972300" y="6134100"/>
          <a:ext cx="2628900" cy="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514350</xdr:colOff>
      <xdr:row>2</xdr:row>
      <xdr:rowOff>114300</xdr:rowOff>
    </xdr:from>
    <xdr:to>
      <xdr:col>20</xdr:col>
      <xdr:colOff>133350</xdr:colOff>
      <xdr:row>18</xdr:row>
      <xdr:rowOff>152400</xdr:rowOff>
    </xdr:to>
    <xdr:pic>
      <xdr:nvPicPr>
        <xdr:cNvPr id="2" name="Picture 1">
          <a:extLst>
            <a:ext uri="{FF2B5EF4-FFF2-40B4-BE49-F238E27FC236}">
              <a16:creationId xmlns:a16="http://schemas.microsoft.com/office/drawing/2014/main" id="{8D3E4B1C-F695-44C3-823F-136115A38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476250"/>
          <a:ext cx="5715000"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266700</xdr:colOff>
      <xdr:row>2</xdr:row>
      <xdr:rowOff>133350</xdr:rowOff>
    </xdr:from>
    <xdr:to>
      <xdr:col>10</xdr:col>
      <xdr:colOff>504825</xdr:colOff>
      <xdr:row>18</xdr:row>
      <xdr:rowOff>9525</xdr:rowOff>
    </xdr:to>
    <xdr:graphicFrame macro="">
      <xdr:nvGraphicFramePr>
        <xdr:cNvPr id="3" name="Chart 2">
          <a:extLst>
            <a:ext uri="{FF2B5EF4-FFF2-40B4-BE49-F238E27FC236}">
              <a16:creationId xmlns:a16="http://schemas.microsoft.com/office/drawing/2014/main" id="{DE22515E-16C1-4AF0-98DC-D22939B9D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295275</xdr:colOff>
      <xdr:row>1</xdr:row>
      <xdr:rowOff>38100</xdr:rowOff>
    </xdr:from>
    <xdr:to>
      <xdr:col>15</xdr:col>
      <xdr:colOff>323850</xdr:colOff>
      <xdr:row>18</xdr:row>
      <xdr:rowOff>142875</xdr:rowOff>
    </xdr:to>
    <xdr:cxnSp macro="">
      <xdr:nvCxnSpPr>
        <xdr:cNvPr id="4" name="Straight Connector 3">
          <a:extLst>
            <a:ext uri="{FF2B5EF4-FFF2-40B4-BE49-F238E27FC236}">
              <a16:creationId xmlns:a16="http://schemas.microsoft.com/office/drawing/2014/main" id="{4704450B-37DE-40C2-871F-2E047602A57F}"/>
            </a:ext>
          </a:extLst>
        </xdr:cNvPr>
        <xdr:cNvCxnSpPr>
          <a:endCxn id="2" idx="2"/>
        </xdr:cNvCxnSpPr>
      </xdr:nvCxnSpPr>
      <xdr:spPr>
        <a:xfrm>
          <a:off x="10287000" y="21907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5</xdr:row>
      <xdr:rowOff>171451</xdr:rowOff>
    </xdr:from>
    <xdr:to>
      <xdr:col>17</xdr:col>
      <xdr:colOff>57150</xdr:colOff>
      <xdr:row>6</xdr:row>
      <xdr:rowOff>0</xdr:rowOff>
    </xdr:to>
    <xdr:cxnSp macro="">
      <xdr:nvCxnSpPr>
        <xdr:cNvPr id="5" name="Straight Connector 4">
          <a:extLst>
            <a:ext uri="{FF2B5EF4-FFF2-40B4-BE49-F238E27FC236}">
              <a16:creationId xmlns:a16="http://schemas.microsoft.com/office/drawing/2014/main" id="{CBC72655-2CE4-4B2A-99F3-D7D641C29232}"/>
            </a:ext>
          </a:extLst>
        </xdr:cNvPr>
        <xdr:cNvCxnSpPr/>
      </xdr:nvCxnSpPr>
      <xdr:spPr>
        <a:xfrm flipV="1">
          <a:off x="1819275" y="1076326"/>
          <a:ext cx="9448800"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57150</xdr:colOff>
      <xdr:row>16</xdr:row>
      <xdr:rowOff>38101</xdr:rowOff>
    </xdr:from>
    <xdr:to>
      <xdr:col>17</xdr:col>
      <xdr:colOff>76200</xdr:colOff>
      <xdr:row>16</xdr:row>
      <xdr:rowOff>47625</xdr:rowOff>
    </xdr:to>
    <xdr:cxnSp macro="">
      <xdr:nvCxnSpPr>
        <xdr:cNvPr id="6" name="Straight Connector 5">
          <a:extLst>
            <a:ext uri="{FF2B5EF4-FFF2-40B4-BE49-F238E27FC236}">
              <a16:creationId xmlns:a16="http://schemas.microsoft.com/office/drawing/2014/main" id="{52A7784B-6501-40D2-B955-EDEADD389FA7}"/>
            </a:ext>
          </a:extLst>
        </xdr:cNvPr>
        <xdr:cNvCxnSpPr/>
      </xdr:nvCxnSpPr>
      <xdr:spPr>
        <a:xfrm flipV="1">
          <a:off x="1838325" y="2933701"/>
          <a:ext cx="9448800"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14</xdr:row>
      <xdr:rowOff>19051</xdr:rowOff>
    </xdr:from>
    <xdr:to>
      <xdr:col>17</xdr:col>
      <xdr:colOff>85725</xdr:colOff>
      <xdr:row>14</xdr:row>
      <xdr:rowOff>28575</xdr:rowOff>
    </xdr:to>
    <xdr:cxnSp macro="">
      <xdr:nvCxnSpPr>
        <xdr:cNvPr id="7" name="Straight Connector 6">
          <a:extLst>
            <a:ext uri="{FF2B5EF4-FFF2-40B4-BE49-F238E27FC236}">
              <a16:creationId xmlns:a16="http://schemas.microsoft.com/office/drawing/2014/main" id="{8A327642-4D9B-4F63-855F-D2D9FEF44E4B}"/>
            </a:ext>
          </a:extLst>
        </xdr:cNvPr>
        <xdr:cNvCxnSpPr/>
      </xdr:nvCxnSpPr>
      <xdr:spPr>
        <a:xfrm flipV="1">
          <a:off x="1847850" y="2552701"/>
          <a:ext cx="9448800"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161925</xdr:colOff>
      <xdr:row>11</xdr:row>
      <xdr:rowOff>66676</xdr:rowOff>
    </xdr:from>
    <xdr:to>
      <xdr:col>19</xdr:col>
      <xdr:colOff>180975</xdr:colOff>
      <xdr:row>11</xdr:row>
      <xdr:rowOff>76200</xdr:rowOff>
    </xdr:to>
    <xdr:cxnSp macro="">
      <xdr:nvCxnSpPr>
        <xdr:cNvPr id="8" name="Straight Connector 7">
          <a:extLst>
            <a:ext uri="{FF2B5EF4-FFF2-40B4-BE49-F238E27FC236}">
              <a16:creationId xmlns:a16="http://schemas.microsoft.com/office/drawing/2014/main" id="{618D995D-530A-464A-8311-21E9F199EB01}"/>
            </a:ext>
          </a:extLst>
        </xdr:cNvPr>
        <xdr:cNvCxnSpPr/>
      </xdr:nvCxnSpPr>
      <xdr:spPr>
        <a:xfrm flipV="1">
          <a:off x="3324225" y="2057401"/>
          <a:ext cx="9286875"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295275</xdr:colOff>
      <xdr:row>1</xdr:row>
      <xdr:rowOff>47625</xdr:rowOff>
    </xdr:from>
    <xdr:to>
      <xdr:col>18</xdr:col>
      <xdr:colOff>323850</xdr:colOff>
      <xdr:row>18</xdr:row>
      <xdr:rowOff>152400</xdr:rowOff>
    </xdr:to>
    <xdr:cxnSp macro="">
      <xdr:nvCxnSpPr>
        <xdr:cNvPr id="9" name="Straight Connector 8">
          <a:extLst>
            <a:ext uri="{FF2B5EF4-FFF2-40B4-BE49-F238E27FC236}">
              <a16:creationId xmlns:a16="http://schemas.microsoft.com/office/drawing/2014/main" id="{F45E89EE-32F3-4204-BF5D-86E1DA5789AE}"/>
            </a:ext>
          </a:extLst>
        </xdr:cNvPr>
        <xdr:cNvCxnSpPr/>
      </xdr:nvCxnSpPr>
      <xdr:spPr>
        <a:xfrm>
          <a:off x="12115800" y="228600"/>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180975</xdr:colOff>
      <xdr:row>1</xdr:row>
      <xdr:rowOff>38100</xdr:rowOff>
    </xdr:from>
    <xdr:to>
      <xdr:col>12</xdr:col>
      <xdr:colOff>209550</xdr:colOff>
      <xdr:row>18</xdr:row>
      <xdr:rowOff>142875</xdr:rowOff>
    </xdr:to>
    <xdr:cxnSp macro="">
      <xdr:nvCxnSpPr>
        <xdr:cNvPr id="10" name="Straight Connector 9">
          <a:extLst>
            <a:ext uri="{FF2B5EF4-FFF2-40B4-BE49-F238E27FC236}">
              <a16:creationId xmlns:a16="http://schemas.microsoft.com/office/drawing/2014/main" id="{5B555BDD-1291-4145-BF7E-2140AC0AFCB4}"/>
            </a:ext>
          </a:extLst>
        </xdr:cNvPr>
        <xdr:cNvCxnSpPr/>
      </xdr:nvCxnSpPr>
      <xdr:spPr>
        <a:xfrm>
          <a:off x="8343900" y="21907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571500</xdr:colOff>
      <xdr:row>1</xdr:row>
      <xdr:rowOff>171450</xdr:rowOff>
    </xdr:from>
    <xdr:to>
      <xdr:col>14</xdr:col>
      <xdr:colOff>600075</xdr:colOff>
      <xdr:row>19</xdr:row>
      <xdr:rowOff>95250</xdr:rowOff>
    </xdr:to>
    <xdr:cxnSp macro="">
      <xdr:nvCxnSpPr>
        <xdr:cNvPr id="11" name="Straight Connector 10">
          <a:extLst>
            <a:ext uri="{FF2B5EF4-FFF2-40B4-BE49-F238E27FC236}">
              <a16:creationId xmlns:a16="http://schemas.microsoft.com/office/drawing/2014/main" id="{556E17E6-4561-4A88-8CA9-4361B89D362D}"/>
            </a:ext>
          </a:extLst>
        </xdr:cNvPr>
        <xdr:cNvCxnSpPr/>
      </xdr:nvCxnSpPr>
      <xdr:spPr>
        <a:xfrm>
          <a:off x="9953625" y="35242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438150</xdr:colOff>
      <xdr:row>1</xdr:row>
      <xdr:rowOff>171450</xdr:rowOff>
    </xdr:from>
    <xdr:to>
      <xdr:col>6</xdr:col>
      <xdr:colOff>466725</xdr:colOff>
      <xdr:row>19</xdr:row>
      <xdr:rowOff>95250</xdr:rowOff>
    </xdr:to>
    <xdr:cxnSp macro="">
      <xdr:nvCxnSpPr>
        <xdr:cNvPr id="12" name="Straight Connector 11">
          <a:extLst>
            <a:ext uri="{FF2B5EF4-FFF2-40B4-BE49-F238E27FC236}">
              <a16:creationId xmlns:a16="http://schemas.microsoft.com/office/drawing/2014/main" id="{CC911158-EEF7-4CCC-A93B-6561A41DD538}"/>
            </a:ext>
          </a:extLst>
        </xdr:cNvPr>
        <xdr:cNvCxnSpPr/>
      </xdr:nvCxnSpPr>
      <xdr:spPr>
        <a:xfrm>
          <a:off x="4857750" y="35242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600075</xdr:colOff>
      <xdr:row>2</xdr:row>
      <xdr:rowOff>76200</xdr:rowOff>
    </xdr:from>
    <xdr:to>
      <xdr:col>6</xdr:col>
      <xdr:colOff>19050</xdr:colOff>
      <xdr:row>20</xdr:row>
      <xdr:rowOff>0</xdr:rowOff>
    </xdr:to>
    <xdr:cxnSp macro="">
      <xdr:nvCxnSpPr>
        <xdr:cNvPr id="13" name="Straight Connector 12">
          <a:extLst>
            <a:ext uri="{FF2B5EF4-FFF2-40B4-BE49-F238E27FC236}">
              <a16:creationId xmlns:a16="http://schemas.microsoft.com/office/drawing/2014/main" id="{6F1E5C2A-5170-4C27-8B10-19F5FCB928C9}"/>
            </a:ext>
          </a:extLst>
        </xdr:cNvPr>
        <xdr:cNvCxnSpPr/>
      </xdr:nvCxnSpPr>
      <xdr:spPr>
        <a:xfrm>
          <a:off x="4391025" y="438150"/>
          <a:ext cx="4762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419100</xdr:colOff>
      <xdr:row>2</xdr:row>
      <xdr:rowOff>38100</xdr:rowOff>
    </xdr:from>
    <xdr:to>
      <xdr:col>15</xdr:col>
      <xdr:colOff>447675</xdr:colOff>
      <xdr:row>19</xdr:row>
      <xdr:rowOff>142875</xdr:rowOff>
    </xdr:to>
    <xdr:cxnSp macro="">
      <xdr:nvCxnSpPr>
        <xdr:cNvPr id="14" name="Straight Connector 13">
          <a:extLst>
            <a:ext uri="{FF2B5EF4-FFF2-40B4-BE49-F238E27FC236}">
              <a16:creationId xmlns:a16="http://schemas.microsoft.com/office/drawing/2014/main" id="{8BA13529-B585-4081-ADA3-0CD234841DDD}"/>
            </a:ext>
          </a:extLst>
        </xdr:cNvPr>
        <xdr:cNvCxnSpPr/>
      </xdr:nvCxnSpPr>
      <xdr:spPr>
        <a:xfrm>
          <a:off x="10410825" y="400050"/>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13759</xdr:colOff>
      <xdr:row>105</xdr:row>
      <xdr:rowOff>15873</xdr:rowOff>
    </xdr:from>
    <xdr:to>
      <xdr:col>17</xdr:col>
      <xdr:colOff>243417</xdr:colOff>
      <xdr:row>126</xdr:row>
      <xdr:rowOff>10583</xdr:rowOff>
    </xdr:to>
    <xdr:graphicFrame macro="">
      <xdr:nvGraphicFramePr>
        <xdr:cNvPr id="15" name="Chart 14">
          <a:extLst>
            <a:ext uri="{FF2B5EF4-FFF2-40B4-BE49-F238E27FC236}">
              <a16:creationId xmlns:a16="http://schemas.microsoft.com/office/drawing/2014/main" id="{52C75956-90AB-45D0-A23B-C82343043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1819275</xdr:colOff>
      <xdr:row>3</xdr:row>
      <xdr:rowOff>61912</xdr:rowOff>
    </xdr:from>
    <xdr:to>
      <xdr:col>11</xdr:col>
      <xdr:colOff>85725</xdr:colOff>
      <xdr:row>17</xdr:row>
      <xdr:rowOff>138112</xdr:rowOff>
    </xdr:to>
    <xdr:graphicFrame macro="">
      <xdr:nvGraphicFramePr>
        <xdr:cNvPr id="3" name="Chart 2">
          <a:extLst>
            <a:ext uri="{FF2B5EF4-FFF2-40B4-BE49-F238E27FC236}">
              <a16:creationId xmlns:a16="http://schemas.microsoft.com/office/drawing/2014/main" id="{07282942-436E-4E27-97C7-581697C17B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514350</xdr:colOff>
      <xdr:row>2</xdr:row>
      <xdr:rowOff>114300</xdr:rowOff>
    </xdr:from>
    <xdr:to>
      <xdr:col>20</xdr:col>
      <xdr:colOff>133350</xdr:colOff>
      <xdr:row>18</xdr:row>
      <xdr:rowOff>152400</xdr:rowOff>
    </xdr:to>
    <xdr:pic>
      <xdr:nvPicPr>
        <xdr:cNvPr id="2" name="Picture 1">
          <a:extLst>
            <a:ext uri="{FF2B5EF4-FFF2-40B4-BE49-F238E27FC236}">
              <a16:creationId xmlns:a16="http://schemas.microsoft.com/office/drawing/2014/main" id="{8AAE902F-1421-46E7-9D7C-B178EC8F6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476250"/>
          <a:ext cx="5715000"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266700</xdr:colOff>
      <xdr:row>2</xdr:row>
      <xdr:rowOff>133350</xdr:rowOff>
    </xdr:from>
    <xdr:to>
      <xdr:col>10</xdr:col>
      <xdr:colOff>504825</xdr:colOff>
      <xdr:row>18</xdr:row>
      <xdr:rowOff>9525</xdr:rowOff>
    </xdr:to>
    <xdr:graphicFrame macro="">
      <xdr:nvGraphicFramePr>
        <xdr:cNvPr id="3" name="Chart 2">
          <a:extLst>
            <a:ext uri="{FF2B5EF4-FFF2-40B4-BE49-F238E27FC236}">
              <a16:creationId xmlns:a16="http://schemas.microsoft.com/office/drawing/2014/main" id="{9F778954-E867-42D1-9AE6-B7AFAEA5E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295275</xdr:colOff>
      <xdr:row>1</xdr:row>
      <xdr:rowOff>38100</xdr:rowOff>
    </xdr:from>
    <xdr:to>
      <xdr:col>15</xdr:col>
      <xdr:colOff>323850</xdr:colOff>
      <xdr:row>18</xdr:row>
      <xdr:rowOff>142875</xdr:rowOff>
    </xdr:to>
    <xdr:cxnSp macro="">
      <xdr:nvCxnSpPr>
        <xdr:cNvPr id="4" name="Straight Connector 3">
          <a:extLst>
            <a:ext uri="{FF2B5EF4-FFF2-40B4-BE49-F238E27FC236}">
              <a16:creationId xmlns:a16="http://schemas.microsoft.com/office/drawing/2014/main" id="{A5AE3DAE-B31A-4F7C-9274-7BB09CCBFB4A}"/>
            </a:ext>
          </a:extLst>
        </xdr:cNvPr>
        <xdr:cNvCxnSpPr>
          <a:endCxn id="2" idx="2"/>
        </xdr:cNvCxnSpPr>
      </xdr:nvCxnSpPr>
      <xdr:spPr>
        <a:xfrm>
          <a:off x="10287000" y="21907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5</xdr:row>
      <xdr:rowOff>171451</xdr:rowOff>
    </xdr:from>
    <xdr:to>
      <xdr:col>17</xdr:col>
      <xdr:colOff>57150</xdr:colOff>
      <xdr:row>6</xdr:row>
      <xdr:rowOff>0</xdr:rowOff>
    </xdr:to>
    <xdr:cxnSp macro="">
      <xdr:nvCxnSpPr>
        <xdr:cNvPr id="5" name="Straight Connector 4">
          <a:extLst>
            <a:ext uri="{FF2B5EF4-FFF2-40B4-BE49-F238E27FC236}">
              <a16:creationId xmlns:a16="http://schemas.microsoft.com/office/drawing/2014/main" id="{5BDAC6A8-6698-46CD-9D4A-6197B8D6EEB3}"/>
            </a:ext>
          </a:extLst>
        </xdr:cNvPr>
        <xdr:cNvCxnSpPr/>
      </xdr:nvCxnSpPr>
      <xdr:spPr>
        <a:xfrm flipV="1">
          <a:off x="1819275" y="1076326"/>
          <a:ext cx="9448800"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57150</xdr:colOff>
      <xdr:row>16</xdr:row>
      <xdr:rowOff>38101</xdr:rowOff>
    </xdr:from>
    <xdr:to>
      <xdr:col>17</xdr:col>
      <xdr:colOff>76200</xdr:colOff>
      <xdr:row>16</xdr:row>
      <xdr:rowOff>47625</xdr:rowOff>
    </xdr:to>
    <xdr:cxnSp macro="">
      <xdr:nvCxnSpPr>
        <xdr:cNvPr id="6" name="Straight Connector 5">
          <a:extLst>
            <a:ext uri="{FF2B5EF4-FFF2-40B4-BE49-F238E27FC236}">
              <a16:creationId xmlns:a16="http://schemas.microsoft.com/office/drawing/2014/main" id="{BA578746-E747-46C0-9F51-CFC0FBE6FDB7}"/>
            </a:ext>
          </a:extLst>
        </xdr:cNvPr>
        <xdr:cNvCxnSpPr/>
      </xdr:nvCxnSpPr>
      <xdr:spPr>
        <a:xfrm flipV="1">
          <a:off x="1838325" y="2933701"/>
          <a:ext cx="9448800"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14</xdr:row>
      <xdr:rowOff>19051</xdr:rowOff>
    </xdr:from>
    <xdr:to>
      <xdr:col>17</xdr:col>
      <xdr:colOff>85725</xdr:colOff>
      <xdr:row>14</xdr:row>
      <xdr:rowOff>28575</xdr:rowOff>
    </xdr:to>
    <xdr:cxnSp macro="">
      <xdr:nvCxnSpPr>
        <xdr:cNvPr id="7" name="Straight Connector 6">
          <a:extLst>
            <a:ext uri="{FF2B5EF4-FFF2-40B4-BE49-F238E27FC236}">
              <a16:creationId xmlns:a16="http://schemas.microsoft.com/office/drawing/2014/main" id="{45846E65-00F0-45AF-9565-D3DF48EA3CF5}"/>
            </a:ext>
          </a:extLst>
        </xdr:cNvPr>
        <xdr:cNvCxnSpPr/>
      </xdr:nvCxnSpPr>
      <xdr:spPr>
        <a:xfrm flipV="1">
          <a:off x="1847850" y="2552701"/>
          <a:ext cx="9448800"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161925</xdr:colOff>
      <xdr:row>11</xdr:row>
      <xdr:rowOff>66676</xdr:rowOff>
    </xdr:from>
    <xdr:to>
      <xdr:col>19</xdr:col>
      <xdr:colOff>180975</xdr:colOff>
      <xdr:row>11</xdr:row>
      <xdr:rowOff>76200</xdr:rowOff>
    </xdr:to>
    <xdr:cxnSp macro="">
      <xdr:nvCxnSpPr>
        <xdr:cNvPr id="8" name="Straight Connector 7">
          <a:extLst>
            <a:ext uri="{FF2B5EF4-FFF2-40B4-BE49-F238E27FC236}">
              <a16:creationId xmlns:a16="http://schemas.microsoft.com/office/drawing/2014/main" id="{DC3D1A2A-B86F-4078-80C9-5B60F11EE81C}"/>
            </a:ext>
          </a:extLst>
        </xdr:cNvPr>
        <xdr:cNvCxnSpPr/>
      </xdr:nvCxnSpPr>
      <xdr:spPr>
        <a:xfrm flipV="1">
          <a:off x="3324225" y="2057401"/>
          <a:ext cx="9286875"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295275</xdr:colOff>
      <xdr:row>1</xdr:row>
      <xdr:rowOff>47625</xdr:rowOff>
    </xdr:from>
    <xdr:to>
      <xdr:col>18</xdr:col>
      <xdr:colOff>323850</xdr:colOff>
      <xdr:row>18</xdr:row>
      <xdr:rowOff>152400</xdr:rowOff>
    </xdr:to>
    <xdr:cxnSp macro="">
      <xdr:nvCxnSpPr>
        <xdr:cNvPr id="9" name="Straight Connector 8">
          <a:extLst>
            <a:ext uri="{FF2B5EF4-FFF2-40B4-BE49-F238E27FC236}">
              <a16:creationId xmlns:a16="http://schemas.microsoft.com/office/drawing/2014/main" id="{5879CEFB-877D-4B86-8776-902D5F6DC59A}"/>
            </a:ext>
          </a:extLst>
        </xdr:cNvPr>
        <xdr:cNvCxnSpPr/>
      </xdr:nvCxnSpPr>
      <xdr:spPr>
        <a:xfrm>
          <a:off x="12115800" y="228600"/>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180975</xdr:colOff>
      <xdr:row>1</xdr:row>
      <xdr:rowOff>38100</xdr:rowOff>
    </xdr:from>
    <xdr:to>
      <xdr:col>12</xdr:col>
      <xdr:colOff>209550</xdr:colOff>
      <xdr:row>18</xdr:row>
      <xdr:rowOff>142875</xdr:rowOff>
    </xdr:to>
    <xdr:cxnSp macro="">
      <xdr:nvCxnSpPr>
        <xdr:cNvPr id="10" name="Straight Connector 9">
          <a:extLst>
            <a:ext uri="{FF2B5EF4-FFF2-40B4-BE49-F238E27FC236}">
              <a16:creationId xmlns:a16="http://schemas.microsoft.com/office/drawing/2014/main" id="{62A26369-7882-4D77-8AF6-C7E24466AA20}"/>
            </a:ext>
          </a:extLst>
        </xdr:cNvPr>
        <xdr:cNvCxnSpPr/>
      </xdr:nvCxnSpPr>
      <xdr:spPr>
        <a:xfrm>
          <a:off x="8343900" y="21907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571500</xdr:colOff>
      <xdr:row>1</xdr:row>
      <xdr:rowOff>171450</xdr:rowOff>
    </xdr:from>
    <xdr:to>
      <xdr:col>14</xdr:col>
      <xdr:colOff>600075</xdr:colOff>
      <xdr:row>19</xdr:row>
      <xdr:rowOff>95250</xdr:rowOff>
    </xdr:to>
    <xdr:cxnSp macro="">
      <xdr:nvCxnSpPr>
        <xdr:cNvPr id="11" name="Straight Connector 10">
          <a:extLst>
            <a:ext uri="{FF2B5EF4-FFF2-40B4-BE49-F238E27FC236}">
              <a16:creationId xmlns:a16="http://schemas.microsoft.com/office/drawing/2014/main" id="{8EA323D4-03F0-42D1-8BBB-66DA17BA6A9C}"/>
            </a:ext>
          </a:extLst>
        </xdr:cNvPr>
        <xdr:cNvCxnSpPr/>
      </xdr:nvCxnSpPr>
      <xdr:spPr>
        <a:xfrm>
          <a:off x="9953625" y="35242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438150</xdr:colOff>
      <xdr:row>1</xdr:row>
      <xdr:rowOff>171450</xdr:rowOff>
    </xdr:from>
    <xdr:to>
      <xdr:col>6</xdr:col>
      <xdr:colOff>466725</xdr:colOff>
      <xdr:row>19</xdr:row>
      <xdr:rowOff>95250</xdr:rowOff>
    </xdr:to>
    <xdr:cxnSp macro="">
      <xdr:nvCxnSpPr>
        <xdr:cNvPr id="12" name="Straight Connector 11">
          <a:extLst>
            <a:ext uri="{FF2B5EF4-FFF2-40B4-BE49-F238E27FC236}">
              <a16:creationId xmlns:a16="http://schemas.microsoft.com/office/drawing/2014/main" id="{199C0AEA-06EE-448E-9817-A074072B18E3}"/>
            </a:ext>
          </a:extLst>
        </xdr:cNvPr>
        <xdr:cNvCxnSpPr/>
      </xdr:nvCxnSpPr>
      <xdr:spPr>
        <a:xfrm>
          <a:off x="4857750" y="35242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600075</xdr:colOff>
      <xdr:row>2</xdr:row>
      <xdr:rowOff>76200</xdr:rowOff>
    </xdr:from>
    <xdr:to>
      <xdr:col>6</xdr:col>
      <xdr:colOff>19050</xdr:colOff>
      <xdr:row>20</xdr:row>
      <xdr:rowOff>0</xdr:rowOff>
    </xdr:to>
    <xdr:cxnSp macro="">
      <xdr:nvCxnSpPr>
        <xdr:cNvPr id="13" name="Straight Connector 12">
          <a:extLst>
            <a:ext uri="{FF2B5EF4-FFF2-40B4-BE49-F238E27FC236}">
              <a16:creationId xmlns:a16="http://schemas.microsoft.com/office/drawing/2014/main" id="{4F60ABAE-5C2E-4D38-9399-5A259BD2593D}"/>
            </a:ext>
          </a:extLst>
        </xdr:cNvPr>
        <xdr:cNvCxnSpPr/>
      </xdr:nvCxnSpPr>
      <xdr:spPr>
        <a:xfrm>
          <a:off x="4391025" y="438150"/>
          <a:ext cx="4762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419100</xdr:colOff>
      <xdr:row>2</xdr:row>
      <xdr:rowOff>38100</xdr:rowOff>
    </xdr:from>
    <xdr:to>
      <xdr:col>15</xdr:col>
      <xdr:colOff>447675</xdr:colOff>
      <xdr:row>19</xdr:row>
      <xdr:rowOff>142875</xdr:rowOff>
    </xdr:to>
    <xdr:cxnSp macro="">
      <xdr:nvCxnSpPr>
        <xdr:cNvPr id="14" name="Straight Connector 13">
          <a:extLst>
            <a:ext uri="{FF2B5EF4-FFF2-40B4-BE49-F238E27FC236}">
              <a16:creationId xmlns:a16="http://schemas.microsoft.com/office/drawing/2014/main" id="{A493D487-3C18-40DF-8391-431D65FF0038}"/>
            </a:ext>
          </a:extLst>
        </xdr:cNvPr>
        <xdr:cNvCxnSpPr/>
      </xdr:nvCxnSpPr>
      <xdr:spPr>
        <a:xfrm>
          <a:off x="10410825" y="400050"/>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161925</xdr:colOff>
      <xdr:row>58</xdr:row>
      <xdr:rowOff>47625</xdr:rowOff>
    </xdr:from>
    <xdr:to>
      <xdr:col>15</xdr:col>
      <xdr:colOff>381000</xdr:colOff>
      <xdr:row>79</xdr:row>
      <xdr:rowOff>76200</xdr:rowOff>
    </xdr:to>
    <xdr:graphicFrame macro="">
      <xdr:nvGraphicFramePr>
        <xdr:cNvPr id="15" name="Chart 14">
          <a:extLst>
            <a:ext uri="{FF2B5EF4-FFF2-40B4-BE49-F238E27FC236}">
              <a16:creationId xmlns:a16="http://schemas.microsoft.com/office/drawing/2014/main" id="{2F0DF0AB-D61D-4E84-A8C1-FCFBA43E90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514350</xdr:colOff>
      <xdr:row>2</xdr:row>
      <xdr:rowOff>114300</xdr:rowOff>
    </xdr:from>
    <xdr:to>
      <xdr:col>19</xdr:col>
      <xdr:colOff>559593</xdr:colOff>
      <xdr:row>18</xdr:row>
      <xdr:rowOff>152400</xdr:rowOff>
    </xdr:to>
    <xdr:pic>
      <xdr:nvPicPr>
        <xdr:cNvPr id="2" name="Picture 1">
          <a:extLst>
            <a:ext uri="{FF2B5EF4-FFF2-40B4-BE49-F238E27FC236}">
              <a16:creationId xmlns:a16="http://schemas.microsoft.com/office/drawing/2014/main" id="{AA6FCD52-37EB-4358-B67F-D8C1FFF68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476250"/>
          <a:ext cx="5715000"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266700</xdr:colOff>
      <xdr:row>2</xdr:row>
      <xdr:rowOff>133350</xdr:rowOff>
    </xdr:from>
    <xdr:to>
      <xdr:col>10</xdr:col>
      <xdr:colOff>504825</xdr:colOff>
      <xdr:row>18</xdr:row>
      <xdr:rowOff>9525</xdr:rowOff>
    </xdr:to>
    <xdr:graphicFrame macro="">
      <xdr:nvGraphicFramePr>
        <xdr:cNvPr id="3" name="Chart 2">
          <a:extLst>
            <a:ext uri="{FF2B5EF4-FFF2-40B4-BE49-F238E27FC236}">
              <a16:creationId xmlns:a16="http://schemas.microsoft.com/office/drawing/2014/main" id="{74146B77-0D12-42BC-B27D-6C8301B2D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295275</xdr:colOff>
      <xdr:row>1</xdr:row>
      <xdr:rowOff>38100</xdr:rowOff>
    </xdr:from>
    <xdr:to>
      <xdr:col>15</xdr:col>
      <xdr:colOff>323850</xdr:colOff>
      <xdr:row>18</xdr:row>
      <xdr:rowOff>142875</xdr:rowOff>
    </xdr:to>
    <xdr:cxnSp macro="">
      <xdr:nvCxnSpPr>
        <xdr:cNvPr id="4" name="Straight Connector 3">
          <a:extLst>
            <a:ext uri="{FF2B5EF4-FFF2-40B4-BE49-F238E27FC236}">
              <a16:creationId xmlns:a16="http://schemas.microsoft.com/office/drawing/2014/main" id="{C469F167-AA5F-4085-8A71-0427401848DE}"/>
            </a:ext>
          </a:extLst>
        </xdr:cNvPr>
        <xdr:cNvCxnSpPr>
          <a:endCxn id="2" idx="2"/>
        </xdr:cNvCxnSpPr>
      </xdr:nvCxnSpPr>
      <xdr:spPr>
        <a:xfrm>
          <a:off x="10287000" y="21907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5</xdr:row>
      <xdr:rowOff>171451</xdr:rowOff>
    </xdr:from>
    <xdr:to>
      <xdr:col>17</xdr:col>
      <xdr:colOff>57150</xdr:colOff>
      <xdr:row>6</xdr:row>
      <xdr:rowOff>0</xdr:rowOff>
    </xdr:to>
    <xdr:cxnSp macro="">
      <xdr:nvCxnSpPr>
        <xdr:cNvPr id="5" name="Straight Connector 4">
          <a:extLst>
            <a:ext uri="{FF2B5EF4-FFF2-40B4-BE49-F238E27FC236}">
              <a16:creationId xmlns:a16="http://schemas.microsoft.com/office/drawing/2014/main" id="{267C8655-7C02-49B8-9A42-F4AE30F79BC4}"/>
            </a:ext>
          </a:extLst>
        </xdr:cNvPr>
        <xdr:cNvCxnSpPr/>
      </xdr:nvCxnSpPr>
      <xdr:spPr>
        <a:xfrm flipV="1">
          <a:off x="1819275" y="1076326"/>
          <a:ext cx="9448800"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57150</xdr:colOff>
      <xdr:row>16</xdr:row>
      <xdr:rowOff>38101</xdr:rowOff>
    </xdr:from>
    <xdr:to>
      <xdr:col>17</xdr:col>
      <xdr:colOff>76200</xdr:colOff>
      <xdr:row>16</xdr:row>
      <xdr:rowOff>47625</xdr:rowOff>
    </xdr:to>
    <xdr:cxnSp macro="">
      <xdr:nvCxnSpPr>
        <xdr:cNvPr id="6" name="Straight Connector 5">
          <a:extLst>
            <a:ext uri="{FF2B5EF4-FFF2-40B4-BE49-F238E27FC236}">
              <a16:creationId xmlns:a16="http://schemas.microsoft.com/office/drawing/2014/main" id="{559A08F4-123B-408B-BEA1-DC04F9A6DCA3}"/>
            </a:ext>
          </a:extLst>
        </xdr:cNvPr>
        <xdr:cNvCxnSpPr/>
      </xdr:nvCxnSpPr>
      <xdr:spPr>
        <a:xfrm flipV="1">
          <a:off x="1838325" y="2933701"/>
          <a:ext cx="9448800"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14</xdr:row>
      <xdr:rowOff>19051</xdr:rowOff>
    </xdr:from>
    <xdr:to>
      <xdr:col>17</xdr:col>
      <xdr:colOff>85725</xdr:colOff>
      <xdr:row>14</xdr:row>
      <xdr:rowOff>28575</xdr:rowOff>
    </xdr:to>
    <xdr:cxnSp macro="">
      <xdr:nvCxnSpPr>
        <xdr:cNvPr id="7" name="Straight Connector 6">
          <a:extLst>
            <a:ext uri="{FF2B5EF4-FFF2-40B4-BE49-F238E27FC236}">
              <a16:creationId xmlns:a16="http://schemas.microsoft.com/office/drawing/2014/main" id="{5F045E47-5F96-44EF-865F-C907430E85FB}"/>
            </a:ext>
          </a:extLst>
        </xdr:cNvPr>
        <xdr:cNvCxnSpPr/>
      </xdr:nvCxnSpPr>
      <xdr:spPr>
        <a:xfrm flipV="1">
          <a:off x="1847850" y="2552701"/>
          <a:ext cx="9448800"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161925</xdr:colOff>
      <xdr:row>11</xdr:row>
      <xdr:rowOff>66676</xdr:rowOff>
    </xdr:from>
    <xdr:to>
      <xdr:col>19</xdr:col>
      <xdr:colOff>180975</xdr:colOff>
      <xdr:row>11</xdr:row>
      <xdr:rowOff>76200</xdr:rowOff>
    </xdr:to>
    <xdr:cxnSp macro="">
      <xdr:nvCxnSpPr>
        <xdr:cNvPr id="8" name="Straight Connector 7">
          <a:extLst>
            <a:ext uri="{FF2B5EF4-FFF2-40B4-BE49-F238E27FC236}">
              <a16:creationId xmlns:a16="http://schemas.microsoft.com/office/drawing/2014/main" id="{79569AAA-01F2-4038-AC15-FEE2FC177D43}"/>
            </a:ext>
          </a:extLst>
        </xdr:cNvPr>
        <xdr:cNvCxnSpPr/>
      </xdr:nvCxnSpPr>
      <xdr:spPr>
        <a:xfrm flipV="1">
          <a:off x="3324225" y="2057401"/>
          <a:ext cx="9286875"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295275</xdr:colOff>
      <xdr:row>1</xdr:row>
      <xdr:rowOff>47625</xdr:rowOff>
    </xdr:from>
    <xdr:to>
      <xdr:col>18</xdr:col>
      <xdr:colOff>323850</xdr:colOff>
      <xdr:row>18</xdr:row>
      <xdr:rowOff>152400</xdr:rowOff>
    </xdr:to>
    <xdr:cxnSp macro="">
      <xdr:nvCxnSpPr>
        <xdr:cNvPr id="9" name="Straight Connector 8">
          <a:extLst>
            <a:ext uri="{FF2B5EF4-FFF2-40B4-BE49-F238E27FC236}">
              <a16:creationId xmlns:a16="http://schemas.microsoft.com/office/drawing/2014/main" id="{EF564CE9-D610-47FC-83C4-2B92528068B6}"/>
            </a:ext>
          </a:extLst>
        </xdr:cNvPr>
        <xdr:cNvCxnSpPr/>
      </xdr:nvCxnSpPr>
      <xdr:spPr>
        <a:xfrm>
          <a:off x="12115800" y="228600"/>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180975</xdr:colOff>
      <xdr:row>1</xdr:row>
      <xdr:rowOff>38100</xdr:rowOff>
    </xdr:from>
    <xdr:to>
      <xdr:col>12</xdr:col>
      <xdr:colOff>209550</xdr:colOff>
      <xdr:row>18</xdr:row>
      <xdr:rowOff>142875</xdr:rowOff>
    </xdr:to>
    <xdr:cxnSp macro="">
      <xdr:nvCxnSpPr>
        <xdr:cNvPr id="10" name="Straight Connector 9">
          <a:extLst>
            <a:ext uri="{FF2B5EF4-FFF2-40B4-BE49-F238E27FC236}">
              <a16:creationId xmlns:a16="http://schemas.microsoft.com/office/drawing/2014/main" id="{C42917DF-A1F6-41A5-BA98-D0508667AFA1}"/>
            </a:ext>
          </a:extLst>
        </xdr:cNvPr>
        <xdr:cNvCxnSpPr/>
      </xdr:nvCxnSpPr>
      <xdr:spPr>
        <a:xfrm>
          <a:off x="8343900" y="21907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571500</xdr:colOff>
      <xdr:row>1</xdr:row>
      <xdr:rowOff>171450</xdr:rowOff>
    </xdr:from>
    <xdr:to>
      <xdr:col>14</xdr:col>
      <xdr:colOff>600075</xdr:colOff>
      <xdr:row>19</xdr:row>
      <xdr:rowOff>95250</xdr:rowOff>
    </xdr:to>
    <xdr:cxnSp macro="">
      <xdr:nvCxnSpPr>
        <xdr:cNvPr id="11" name="Straight Connector 10">
          <a:extLst>
            <a:ext uri="{FF2B5EF4-FFF2-40B4-BE49-F238E27FC236}">
              <a16:creationId xmlns:a16="http://schemas.microsoft.com/office/drawing/2014/main" id="{BD8DD93F-0EA2-4D23-BF20-4632AC8A085B}"/>
            </a:ext>
          </a:extLst>
        </xdr:cNvPr>
        <xdr:cNvCxnSpPr/>
      </xdr:nvCxnSpPr>
      <xdr:spPr>
        <a:xfrm>
          <a:off x="9953625" y="35242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438150</xdr:colOff>
      <xdr:row>1</xdr:row>
      <xdr:rowOff>171450</xdr:rowOff>
    </xdr:from>
    <xdr:to>
      <xdr:col>6</xdr:col>
      <xdr:colOff>466725</xdr:colOff>
      <xdr:row>19</xdr:row>
      <xdr:rowOff>95250</xdr:rowOff>
    </xdr:to>
    <xdr:cxnSp macro="">
      <xdr:nvCxnSpPr>
        <xdr:cNvPr id="12" name="Straight Connector 11">
          <a:extLst>
            <a:ext uri="{FF2B5EF4-FFF2-40B4-BE49-F238E27FC236}">
              <a16:creationId xmlns:a16="http://schemas.microsoft.com/office/drawing/2014/main" id="{5CCD2D5D-B8F2-41DD-A40B-292D46CA600E}"/>
            </a:ext>
          </a:extLst>
        </xdr:cNvPr>
        <xdr:cNvCxnSpPr/>
      </xdr:nvCxnSpPr>
      <xdr:spPr>
        <a:xfrm>
          <a:off x="4857750" y="352425"/>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600075</xdr:colOff>
      <xdr:row>2</xdr:row>
      <xdr:rowOff>76200</xdr:rowOff>
    </xdr:from>
    <xdr:to>
      <xdr:col>6</xdr:col>
      <xdr:colOff>19050</xdr:colOff>
      <xdr:row>20</xdr:row>
      <xdr:rowOff>0</xdr:rowOff>
    </xdr:to>
    <xdr:cxnSp macro="">
      <xdr:nvCxnSpPr>
        <xdr:cNvPr id="13" name="Straight Connector 12">
          <a:extLst>
            <a:ext uri="{FF2B5EF4-FFF2-40B4-BE49-F238E27FC236}">
              <a16:creationId xmlns:a16="http://schemas.microsoft.com/office/drawing/2014/main" id="{2FF969FE-FAE9-46F8-B3FE-09438E94002F}"/>
            </a:ext>
          </a:extLst>
        </xdr:cNvPr>
        <xdr:cNvCxnSpPr/>
      </xdr:nvCxnSpPr>
      <xdr:spPr>
        <a:xfrm>
          <a:off x="4391025" y="438150"/>
          <a:ext cx="4762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419100</xdr:colOff>
      <xdr:row>2</xdr:row>
      <xdr:rowOff>38100</xdr:rowOff>
    </xdr:from>
    <xdr:to>
      <xdr:col>15</xdr:col>
      <xdr:colOff>447675</xdr:colOff>
      <xdr:row>19</xdr:row>
      <xdr:rowOff>142875</xdr:rowOff>
    </xdr:to>
    <xdr:cxnSp macro="">
      <xdr:nvCxnSpPr>
        <xdr:cNvPr id="14" name="Straight Connector 13">
          <a:extLst>
            <a:ext uri="{FF2B5EF4-FFF2-40B4-BE49-F238E27FC236}">
              <a16:creationId xmlns:a16="http://schemas.microsoft.com/office/drawing/2014/main" id="{DEBA8D1B-EC40-4C28-A725-C908621313C9}"/>
            </a:ext>
          </a:extLst>
        </xdr:cNvPr>
        <xdr:cNvCxnSpPr/>
      </xdr:nvCxnSpPr>
      <xdr:spPr>
        <a:xfrm>
          <a:off x="10410825" y="400050"/>
          <a:ext cx="28575" cy="3181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223837</xdr:colOff>
      <xdr:row>68</xdr:row>
      <xdr:rowOff>57150</xdr:rowOff>
    </xdr:from>
    <xdr:to>
      <xdr:col>20</xdr:col>
      <xdr:colOff>495300</xdr:colOff>
      <xdr:row>90</xdr:row>
      <xdr:rowOff>71438</xdr:rowOff>
    </xdr:to>
    <xdr:graphicFrame macro="">
      <xdr:nvGraphicFramePr>
        <xdr:cNvPr id="15" name="Chart 14">
          <a:extLst>
            <a:ext uri="{FF2B5EF4-FFF2-40B4-BE49-F238E27FC236}">
              <a16:creationId xmlns:a16="http://schemas.microsoft.com/office/drawing/2014/main" id="{18F12090-1DA4-4CD3-B10F-10648C40D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228600</xdr:colOff>
      <xdr:row>43</xdr:row>
      <xdr:rowOff>114300</xdr:rowOff>
    </xdr:from>
    <xdr:to>
      <xdr:col>20</xdr:col>
      <xdr:colOff>466725</xdr:colOff>
      <xdr:row>67</xdr:row>
      <xdr:rowOff>0</xdr:rowOff>
    </xdr:to>
    <xdr:graphicFrame macro="">
      <xdr:nvGraphicFramePr>
        <xdr:cNvPr id="17" name="Chart 16">
          <a:extLst>
            <a:ext uri="{FF2B5EF4-FFF2-40B4-BE49-F238E27FC236}">
              <a16:creationId xmlns:a16="http://schemas.microsoft.com/office/drawing/2014/main" id="{FE78C0B7-6E99-4B2E-A850-079292E0C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447675</xdr:colOff>
      <xdr:row>2</xdr:row>
      <xdr:rowOff>200025</xdr:rowOff>
    </xdr:from>
    <xdr:to>
      <xdr:col>19</xdr:col>
      <xdr:colOff>61913</xdr:colOff>
      <xdr:row>19</xdr:row>
      <xdr:rowOff>152400</xdr:rowOff>
    </xdr:to>
    <xdr:graphicFrame macro="">
      <xdr:nvGraphicFramePr>
        <xdr:cNvPr id="2" name="Chart 1">
          <a:extLst>
            <a:ext uri="{FF2B5EF4-FFF2-40B4-BE49-F238E27FC236}">
              <a16:creationId xmlns:a16="http://schemas.microsoft.com/office/drawing/2014/main" id="{1F464AC8-BA67-4D4A-9833-A08BDB0F3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assbeth.com/covid-1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mdurx.com/wp-content/uploads/2021/01/PYURE_Final_Report_SARS_CoV_2_Testing-1.pdf" TargetMode="External"/><Relationship Id="rId13" Type="http://schemas.openxmlformats.org/officeDocument/2006/relationships/hyperlink" Target="https://globalplasmasolutions.com/products/gps-fc48-ac" TargetMode="External"/><Relationship Id="rId18" Type="http://schemas.openxmlformats.org/officeDocument/2006/relationships/hyperlink" Target="https://drive.google.com/file/d/1V5EXCx_a1iHboLETYyxtA2WHnXFVyeBz/view" TargetMode="External"/><Relationship Id="rId26" Type="http://schemas.openxmlformats.org/officeDocument/2006/relationships/hyperlink" Target="https://activtek.pl/wp-content/uploads/2021/05/UTMB-Airborne-SARS-CoV-2F_Final-Report.pdf" TargetMode="External"/><Relationship Id="rId3" Type="http://schemas.openxmlformats.org/officeDocument/2006/relationships/hyperlink" Target="https://www.arelabs.com/" TargetMode="External"/><Relationship Id="rId21" Type="http://schemas.openxmlformats.org/officeDocument/2006/relationships/hyperlink" Target="https://www.activepuremedical.com/" TargetMode="External"/><Relationship Id="rId7" Type="http://schemas.openxmlformats.org/officeDocument/2006/relationships/hyperlink" Target="https://www.innovativebioanalysis.com/" TargetMode="External"/><Relationship Id="rId12" Type="http://schemas.openxmlformats.org/officeDocument/2006/relationships/hyperlink" Target="https://mdurx.com/wp-content/uploads/2021/01/Toxicology_Study_Report.pdf" TargetMode="External"/><Relationship Id="rId17" Type="http://schemas.openxmlformats.org/officeDocument/2006/relationships/hyperlink" Target="https://globalplasmasolutions.com/uploads/customer-resources/GPS-SARS-CoV-2-Report-2021.pdf" TargetMode="External"/><Relationship Id="rId25" Type="http://schemas.openxmlformats.org/officeDocument/2006/relationships/hyperlink" Target="https://www.utsystem.edu/institutions/university-of-texas-medical-branch-at-galveston" TargetMode="External"/><Relationship Id="rId2" Type="http://schemas.openxmlformats.org/officeDocument/2006/relationships/hyperlink" Target="https://www.mdurx.com/" TargetMode="External"/><Relationship Id="rId16" Type="http://schemas.openxmlformats.org/officeDocument/2006/relationships/hyperlink" Target="https://drive.google.com/file/d/1VQW_XEDw5MtNchsSXLlb-xIcX0Pw8Xr8/view" TargetMode="External"/><Relationship Id="rId20" Type="http://schemas.openxmlformats.org/officeDocument/2006/relationships/hyperlink" Target="https://www.globalplasmasolutions.com/" TargetMode="External"/><Relationship Id="rId29" Type="http://schemas.openxmlformats.org/officeDocument/2006/relationships/hyperlink" Target="https://www.alphalabinc.com/about-air-ions" TargetMode="External"/><Relationship Id="rId1" Type="http://schemas.openxmlformats.org/officeDocument/2006/relationships/hyperlink" Target="https://mdurx.com/mdu-rx/" TargetMode="External"/><Relationship Id="rId6" Type="http://schemas.openxmlformats.org/officeDocument/2006/relationships/hyperlink" Target="https://www.mdurx.com/" TargetMode="External"/><Relationship Id="rId11" Type="http://schemas.openxmlformats.org/officeDocument/2006/relationships/hyperlink" Target="https://www.compbio.com/" TargetMode="External"/><Relationship Id="rId24" Type="http://schemas.openxmlformats.org/officeDocument/2006/relationships/hyperlink" Target="https://www.activepure.com/" TargetMode="External"/><Relationship Id="rId5" Type="http://schemas.openxmlformats.org/officeDocument/2006/relationships/hyperlink" Target="https://mdurx.com/mdu-rx/" TargetMode="External"/><Relationship Id="rId15" Type="http://schemas.openxmlformats.org/officeDocument/2006/relationships/hyperlink" Target="https://www.innovativebioanalysis.com/" TargetMode="External"/><Relationship Id="rId23" Type="http://schemas.openxmlformats.org/officeDocument/2006/relationships/hyperlink" Target="https://www.activepuremedical.com/wp-content/uploads/2021/06/MedicalBrochure.pdf" TargetMode="External"/><Relationship Id="rId28" Type="http://schemas.openxmlformats.org/officeDocument/2006/relationships/hyperlink" Target="https://www.alphalabinc.com/" TargetMode="External"/><Relationship Id="rId10" Type="http://schemas.openxmlformats.org/officeDocument/2006/relationships/hyperlink" Target="https://www.mdurx.com/" TargetMode="External"/><Relationship Id="rId19" Type="http://schemas.openxmlformats.org/officeDocument/2006/relationships/hyperlink" Target="https://globalplasmasolutions.com/products/gps-imeasure" TargetMode="External"/><Relationship Id="rId4" Type="http://schemas.openxmlformats.org/officeDocument/2006/relationships/hyperlink" Target="https://pyure.com/wp-content/uploads/2021/03/ARE_Labs_ODOROX_Efficacy_vs_Bioaerosols.pdf" TargetMode="External"/><Relationship Id="rId9" Type="http://schemas.openxmlformats.org/officeDocument/2006/relationships/hyperlink" Target="https://mdurx.com/mdu-rx/" TargetMode="External"/><Relationship Id="rId14" Type="http://schemas.openxmlformats.org/officeDocument/2006/relationships/hyperlink" Target="https://www.globalplasmasolutions.com/" TargetMode="External"/><Relationship Id="rId22" Type="http://schemas.openxmlformats.org/officeDocument/2006/relationships/hyperlink" Target="https://www.activepure.com/covid" TargetMode="External"/><Relationship Id="rId27" Type="http://schemas.openxmlformats.org/officeDocument/2006/relationships/hyperlink" Target="https://www.alphalabinc.com/product-category/air-ion-counters/" TargetMode="External"/><Relationship Id="rId30"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8" Type="http://schemas.openxmlformats.org/officeDocument/2006/relationships/hyperlink" Target="https://cdn.digital.gob.cl/public_files/Campa&#241;as/Corona-Virus/Reportes/01.06.2020_Reporte_Covid19.pdf" TargetMode="External"/><Relationship Id="rId13" Type="http://schemas.openxmlformats.org/officeDocument/2006/relationships/hyperlink" Target="https://www.doh.gov.ph/covid19tracker" TargetMode="External"/><Relationship Id="rId18" Type="http://schemas.openxmlformats.org/officeDocument/2006/relationships/hyperlink" Target="https://data.ct.gov/Health-and-Human-Services/COVID-19-confirmed-cases-and-deaths-by-age-group/ypz6-8qyf" TargetMode="External"/><Relationship Id="rId26" Type="http://schemas.openxmlformats.org/officeDocument/2006/relationships/hyperlink" Target="https://msdh.ms.gov/msdhsite/_static/14,0,420.html" TargetMode="External"/><Relationship Id="rId3" Type="http://schemas.openxmlformats.org/officeDocument/2006/relationships/hyperlink" Target="https://www.alberta.ca/stats/covid-19-alberta-statistics.htm" TargetMode="External"/><Relationship Id="rId21" Type="http://schemas.openxmlformats.org/officeDocument/2006/relationships/hyperlink" Target="https://hub.mph.in.gov/dataset/covid-19-case-demographics" TargetMode="External"/><Relationship Id="rId34" Type="http://schemas.openxmlformats.org/officeDocument/2006/relationships/hyperlink" Target="https://www.dhs.wisconsin.gov/covid-19/deaths.htm" TargetMode="External"/><Relationship Id="rId7" Type="http://schemas.openxmlformats.org/officeDocument/2006/relationships/hyperlink" Target="https://www.minsal.cl/22-informe-epidemiologico-covid-19/" TargetMode="External"/><Relationship Id="rId12" Type="http://schemas.openxmlformats.org/officeDocument/2006/relationships/hyperlink" Target="https://www.fhi.no/en/id/infectious-diseases/coronavirus/daily-reports/daily-reports-COVID19/" TargetMode="External"/><Relationship Id="rId17" Type="http://schemas.openxmlformats.org/officeDocument/2006/relationships/hyperlink" Target="https://covid19.colorado.gov/data/case-data" TargetMode="External"/><Relationship Id="rId25" Type="http://schemas.openxmlformats.org/officeDocument/2006/relationships/hyperlink" Target="https://www.health.state.mn.us/diseases/coronavirus/stats/covidweekly10.pdf" TargetMode="External"/><Relationship Id="rId33" Type="http://schemas.openxmlformats.org/officeDocument/2006/relationships/hyperlink" Target="https://www.doh.wa.gov/emergencies/coronavirus" TargetMode="External"/><Relationship Id="rId2" Type="http://schemas.openxmlformats.org/officeDocument/2006/relationships/hyperlink" Target="https://health-infobase.canada.ca/covid-19/epidemiological-summary-covid-19-cases.html" TargetMode="External"/><Relationship Id="rId16" Type="http://schemas.openxmlformats.org/officeDocument/2006/relationships/hyperlink" Target="https://datawrapper.dwcdn.net/IJC8v/78" TargetMode="External"/><Relationship Id="rId20" Type="http://schemas.openxmlformats.org/officeDocument/2006/relationships/hyperlink" Target="https://public.tableau.com/profile/idaho.division.of.public.health" TargetMode="External"/><Relationship Id="rId29" Type="http://schemas.openxmlformats.org/officeDocument/2006/relationships/hyperlink" Target="https://www.dhhs.nh.gov/dphs/cdcs/covid19/covid-weekly-report-05112020.pdf" TargetMode="External"/><Relationship Id="rId1" Type="http://schemas.openxmlformats.org/officeDocument/2006/relationships/hyperlink" Target="https://www.argentina.gob.ar/sites/default/files/sala_7_mayo.pdf" TargetMode="External"/><Relationship Id="rId6" Type="http://schemas.openxmlformats.org/officeDocument/2006/relationships/hyperlink" Target="https://www.quebec.ca/en/health/health-issues/a-z/2019-coronavirus/situation-coronavirus-in-quebec/" TargetMode="External"/><Relationship Id="rId11" Type="http://schemas.openxmlformats.org/officeDocument/2006/relationships/hyperlink" Target="https://toyokeizai.net/sp/visual/tko/covid19/en" TargetMode="External"/><Relationship Id="rId24" Type="http://schemas.openxmlformats.org/officeDocument/2006/relationships/hyperlink" Target="https://www.mass.gov/info-details/covid-19-response-reporting" TargetMode="External"/><Relationship Id="rId32" Type="http://schemas.openxmlformats.org/officeDocument/2006/relationships/hyperlink" Target="https://public.tableau.com/profile/vdh.population.health" TargetMode="External"/><Relationship Id="rId5" Type="http://schemas.openxmlformats.org/officeDocument/2006/relationships/hyperlink" Target="https://www.publichealthontario.ca/en/data-and-analysis/infectious-disease/covid-19-data-surveillance/covid-19-data-tool" TargetMode="External"/><Relationship Id="rId15" Type="http://schemas.openxmlformats.org/officeDocument/2006/relationships/hyperlink" Target="https://sacoronavirus.co.za/2020/05/29/update-on-covid-19-28th-may-2020/" TargetMode="External"/><Relationship Id="rId23" Type="http://schemas.openxmlformats.org/officeDocument/2006/relationships/hyperlink" Target="https://coronavirus.maryland.gov/" TargetMode="External"/><Relationship Id="rId28" Type="http://schemas.openxmlformats.org/officeDocument/2006/relationships/hyperlink" Target="https://app.powerbigov.us/view?r=eyJrIjoiMjA2ZThiOWUtM2FlNS00MGY5LWFmYjUtNmQwNTQ3Nzg5N2I2IiwidCI6ImU0YTM0MGU2LWI4OWUtNGU2OC04ZWFhLTE1NDRkMjcwMzk4MCJ9" TargetMode="External"/><Relationship Id="rId10" Type="http://schemas.openxmlformats.org/officeDocument/2006/relationships/hyperlink" Target="https://www.lgl.bayern.de/gesundheit/infektionsschutz/infektionskrankheiten_a_z/coronavirus/karte_coronavirus/index.htm" TargetMode="External"/><Relationship Id="rId19" Type="http://schemas.openxmlformats.org/officeDocument/2006/relationships/hyperlink" Target="https://dph.georgia.gov/covid-19-daily-status-report" TargetMode="External"/><Relationship Id="rId31" Type="http://schemas.openxmlformats.org/officeDocument/2006/relationships/hyperlink" Target="https://dshs.texas.gov/coronavirus/additionaldata" TargetMode="External"/><Relationship Id="rId4" Type="http://schemas.openxmlformats.org/officeDocument/2006/relationships/hyperlink" Target="http://www.bccdc.ca/Health-Info-Site/Documents/BC_Surveillance_Summary_June_3_2020.pdf" TargetMode="External"/><Relationship Id="rId9" Type="http://schemas.openxmlformats.org/officeDocument/2006/relationships/hyperlink" Target="https://www.ins.gov.co/Noticias/Paginas/Coronavirus.aspx" TargetMode="External"/><Relationship Id="rId14" Type="http://schemas.openxmlformats.org/officeDocument/2006/relationships/hyperlink" Target="https://covid19.min-saude.pt/wp-content/uploads/2020/06/94_DGS_boletim_20200604.pdf" TargetMode="External"/><Relationship Id="rId22" Type="http://schemas.openxmlformats.org/officeDocument/2006/relationships/hyperlink" Target="https://kygeonet.maps.arcgis.com/apps/opsdashboard/index.html" TargetMode="External"/><Relationship Id="rId27" Type="http://schemas.openxmlformats.org/officeDocument/2006/relationships/hyperlink" Target="http://mophep.maps.arcgis.com/apps/MapSeries/index.html?appid=8e01a5d8d8bd4b4f85add006f9e14a9d" TargetMode="External"/><Relationship Id="rId30" Type="http://schemas.openxmlformats.org/officeDocument/2006/relationships/hyperlink" Target="https://govstatus.egov.com/OR-OHA-COVID-19" TargetMode="External"/><Relationship Id="rId35"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larsonelectronics.com/" TargetMode="External"/><Relationship Id="rId13" Type="http://schemas.openxmlformats.org/officeDocument/2006/relationships/hyperlink" Target="https://www.prolampsales.com/collections/uvc-indirect-upper-air-sanitizers" TargetMode="External"/><Relationship Id="rId3" Type="http://schemas.openxmlformats.org/officeDocument/2006/relationships/hyperlink" Target="https://www.buyultraviolet.com/hygeaire-uv-indirect-air-disinfection-units" TargetMode="External"/><Relationship Id="rId7" Type="http://schemas.openxmlformats.org/officeDocument/2006/relationships/hyperlink" Target="https://www.americanultraviolet.com/" TargetMode="External"/><Relationship Id="rId12" Type="http://schemas.openxmlformats.org/officeDocument/2006/relationships/hyperlink" Target="https://www.prolampsales.com/collections/g13-base-uvc-bulbs" TargetMode="External"/><Relationship Id="rId17" Type="http://schemas.openxmlformats.org/officeDocument/2006/relationships/printerSettings" Target="../printerSettings/printerSettings29.bin"/><Relationship Id="rId2" Type="http://schemas.openxmlformats.org/officeDocument/2006/relationships/hyperlink" Target="https://lightbest.en.alibaba.com/" TargetMode="External"/><Relationship Id="rId16" Type="http://schemas.openxmlformats.org/officeDocument/2006/relationships/hyperlink" Target="https://www.ushio.com/" TargetMode="External"/><Relationship Id="rId1" Type="http://schemas.openxmlformats.org/officeDocument/2006/relationships/hyperlink" Target="https://coospider.com/" TargetMode="External"/><Relationship Id="rId6" Type="http://schemas.openxmlformats.org/officeDocument/2006/relationships/hyperlink" Target="https://www.americanairandwater.com/uf/tb_uf.htm" TargetMode="External"/><Relationship Id="rId11" Type="http://schemas.openxmlformats.org/officeDocument/2006/relationships/hyperlink" Target="https://healthelighting.com/" TargetMode="External"/><Relationship Id="rId5" Type="http://schemas.openxmlformats.org/officeDocument/2006/relationships/hyperlink" Target="https://www.novaelectronics.net/files/UpperAir.pdf" TargetMode="External"/><Relationship Id="rId15" Type="http://schemas.openxmlformats.org/officeDocument/2006/relationships/hyperlink" Target="https://uvsolutionsmag.com/buyersguide/services/MAIN_COVID19" TargetMode="External"/><Relationship Id="rId10" Type="http://schemas.openxmlformats.org/officeDocument/2006/relationships/hyperlink" Target="https://www.larsonelectronics.com/product/268737/far-uv-recessed-8-can-light-1-10w-microplasma-board-222-nm-uvc-sanitation-recessed-mount" TargetMode="External"/><Relationship Id="rId4" Type="http://schemas.openxmlformats.org/officeDocument/2006/relationships/hyperlink" Target="https://www.lumalier.com/products/upperair.html" TargetMode="External"/><Relationship Id="rId9" Type="http://schemas.openxmlformats.org/officeDocument/2006/relationships/hyperlink" Target="https://www.larsonelectronics.com/product/268798/40w-far-uv-sanitation-light-1-222-nm-uvc-excimer-lamp-wall-mount-w-2-6-adjustable-arms" TargetMode="External"/><Relationship Id="rId14" Type="http://schemas.openxmlformats.org/officeDocument/2006/relationships/hyperlink" Target="https://www.lighting.philips.com/main/products/uv-disinfection"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onlinelibrary.wiley.com/doi/10.1002/rmv.2115" TargetMode="External"/><Relationship Id="rId13" Type="http://schemas.openxmlformats.org/officeDocument/2006/relationships/hyperlink" Target="https://onlinelibrary.wiley.com/doi/10.1002/rmv.2115" TargetMode="External"/><Relationship Id="rId18" Type="http://schemas.openxmlformats.org/officeDocument/2006/relationships/hyperlink" Target="https://onlinelibrary.wiley.com/doi/10.1002/rmv.2115" TargetMode="External"/><Relationship Id="rId3" Type="http://schemas.openxmlformats.org/officeDocument/2006/relationships/hyperlink" Target="https://onlinelibrary.wiley.com/doi/10.1002/rmv.2115" TargetMode="External"/><Relationship Id="rId21" Type="http://schemas.openxmlformats.org/officeDocument/2006/relationships/hyperlink" Target="https://onlinelibrary.wiley.com/doi/10.1002/rmv.2115" TargetMode="External"/><Relationship Id="rId7" Type="http://schemas.openxmlformats.org/officeDocument/2006/relationships/hyperlink" Target="https://onlinelibrary.wiley.com/doi/10.1002/rmv.2115" TargetMode="External"/><Relationship Id="rId12" Type="http://schemas.openxmlformats.org/officeDocument/2006/relationships/hyperlink" Target="https://onlinelibrary.wiley.com/doi/10.1002/rmv.2115" TargetMode="External"/><Relationship Id="rId17" Type="http://schemas.openxmlformats.org/officeDocument/2006/relationships/hyperlink" Target="https://onlinelibrary.wiley.com/doi/10.1002/rmv.2115" TargetMode="External"/><Relationship Id="rId25" Type="http://schemas.openxmlformats.org/officeDocument/2006/relationships/drawing" Target="../drawings/drawing5.xml"/><Relationship Id="rId2" Type="http://schemas.openxmlformats.org/officeDocument/2006/relationships/hyperlink" Target="https://onlinelibrary.wiley.com/doi/10.1002/rmv.2115" TargetMode="External"/><Relationship Id="rId16" Type="http://schemas.openxmlformats.org/officeDocument/2006/relationships/hyperlink" Target="https://onlinelibrary.wiley.com/doi/10.1002/rmv.2115" TargetMode="External"/><Relationship Id="rId20" Type="http://schemas.openxmlformats.org/officeDocument/2006/relationships/hyperlink" Target="https://onlinelibrary.wiley.com/doi/10.1002/rmv.2115" TargetMode="External"/><Relationship Id="rId1" Type="http://schemas.openxmlformats.org/officeDocument/2006/relationships/hyperlink" Target="https://onlinelibrary.wiley.com/doi/10.1002/rmv.2115" TargetMode="External"/><Relationship Id="rId6" Type="http://schemas.openxmlformats.org/officeDocument/2006/relationships/hyperlink" Target="https://onlinelibrary.wiley.com/doi/10.1002/rmv.2115" TargetMode="External"/><Relationship Id="rId11" Type="http://schemas.openxmlformats.org/officeDocument/2006/relationships/hyperlink" Target="https://onlinelibrary.wiley.com/doi/10.1002/rmv.2115" TargetMode="External"/><Relationship Id="rId24" Type="http://schemas.openxmlformats.org/officeDocument/2006/relationships/hyperlink" Target="https://onlinelibrary.wiley.com/doi/10.1002/rmv.2115" TargetMode="External"/><Relationship Id="rId5" Type="http://schemas.openxmlformats.org/officeDocument/2006/relationships/hyperlink" Target="https://onlinelibrary.wiley.com/doi/10.1002/rmv.2115" TargetMode="External"/><Relationship Id="rId15" Type="http://schemas.openxmlformats.org/officeDocument/2006/relationships/hyperlink" Target="https://onlinelibrary.wiley.com/doi/10.1002/rmv.2115" TargetMode="External"/><Relationship Id="rId23" Type="http://schemas.openxmlformats.org/officeDocument/2006/relationships/hyperlink" Target="https://onlinelibrary.wiley.com/doi/10.1002/rmv.2115" TargetMode="External"/><Relationship Id="rId10" Type="http://schemas.openxmlformats.org/officeDocument/2006/relationships/hyperlink" Target="https://onlinelibrary.wiley.com/doi/10.1002/rmv.2115" TargetMode="External"/><Relationship Id="rId19" Type="http://schemas.openxmlformats.org/officeDocument/2006/relationships/hyperlink" Target="https://onlinelibrary.wiley.com/doi/10.1002/rmv.2115" TargetMode="External"/><Relationship Id="rId4" Type="http://schemas.openxmlformats.org/officeDocument/2006/relationships/hyperlink" Target="https://onlinelibrary.wiley.com/doi/10.1002/rmv.2115" TargetMode="External"/><Relationship Id="rId9" Type="http://schemas.openxmlformats.org/officeDocument/2006/relationships/hyperlink" Target="https://onlinelibrary.wiley.com/doi/10.1002/rmv.2115" TargetMode="External"/><Relationship Id="rId14" Type="http://schemas.openxmlformats.org/officeDocument/2006/relationships/hyperlink" Target="https://onlinelibrary.wiley.com/doi/10.1002/rmv.2115" TargetMode="External"/><Relationship Id="rId22" Type="http://schemas.openxmlformats.org/officeDocument/2006/relationships/hyperlink" Target="https://onlinelibrary.wiley.com/doi/10.1002/rmv.2115"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www.canarm.com/hvac/add-series-direct-drive-wall-fans.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hyperlink" Target="https://www.ssa.gov/OACT/STATS/table4c6.html" TargetMode="External"/><Relationship Id="rId2" Type="http://schemas.openxmlformats.org/officeDocument/2006/relationships/hyperlink" Target="https://www.ssa.gov/OACT/STATS/table4c6.html" TargetMode="External"/><Relationship Id="rId1" Type="http://schemas.openxmlformats.org/officeDocument/2006/relationships/hyperlink" Target="https://www.ssa.gov/OACT/STATS/table4c6.html" TargetMode="External"/><Relationship Id="rId6" Type="http://schemas.openxmlformats.org/officeDocument/2006/relationships/drawing" Target="../drawings/drawing8.xml"/><Relationship Id="rId5" Type="http://schemas.openxmlformats.org/officeDocument/2006/relationships/printerSettings" Target="../printerSettings/printerSettings33.bin"/><Relationship Id="rId4" Type="http://schemas.openxmlformats.org/officeDocument/2006/relationships/hyperlink" Target="https://www.ssa.gov/OACT/STATS/table4c6.html"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hyperlink" Target="https://www.worldometers.info/coronavirus/?utm_campaign=homeAdvegas1?%22"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www.worldometers.info/coronavirus/?utm_campaign=homeAdvegas1?%22"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www.worldometers.info/coronavirus/?utm_campaign=homeAdvegas1?%22"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www.nature.com/articles/s41586-020-2271-3" TargetMode="External"/><Relationship Id="rId2" Type="http://schemas.openxmlformats.org/officeDocument/2006/relationships/hyperlink" Target="https://www.sciencedaily.com/releases/2020/05/200506133603.htm" TargetMode="External"/><Relationship Id="rId1" Type="http://schemas.openxmlformats.org/officeDocument/2006/relationships/hyperlink" Target="https://www.journalofhospitalinfection.com/article/S0195-6701(06)00286-6/fulltex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18"/>
  <sheetViews>
    <sheetView tabSelected="1" topLeftCell="A2" workbookViewId="0">
      <selection activeCell="A6" sqref="A6"/>
    </sheetView>
  </sheetViews>
  <sheetFormatPr defaultRowHeight="15.75" x14ac:dyDescent="0.25"/>
  <cols>
    <col min="1" max="1" width="91.5703125" style="12" customWidth="1"/>
    <col min="2" max="16384" width="9.140625" style="11"/>
  </cols>
  <sheetData>
    <row r="2" spans="1:1" x14ac:dyDescent="0.25">
      <c r="A2" s="25" t="s">
        <v>3</v>
      </c>
    </row>
    <row r="3" spans="1:1" x14ac:dyDescent="0.25">
      <c r="A3" s="5"/>
    </row>
    <row r="4" spans="1:1" x14ac:dyDescent="0.25">
      <c r="A4" s="5" t="s">
        <v>4</v>
      </c>
    </row>
    <row r="5" spans="1:1" x14ac:dyDescent="0.25">
      <c r="A5" s="37">
        <v>45034</v>
      </c>
    </row>
    <row r="7" spans="1:1" x14ac:dyDescent="0.25">
      <c r="A7" s="37" t="s">
        <v>1496</v>
      </c>
    </row>
    <row r="8" spans="1:1" x14ac:dyDescent="0.25">
      <c r="A8" s="26"/>
    </row>
    <row r="9" spans="1:1" x14ac:dyDescent="0.25">
      <c r="A9" s="26"/>
    </row>
    <row r="10" spans="1:1" x14ac:dyDescent="0.25">
      <c r="A10" s="5" t="s">
        <v>5</v>
      </c>
    </row>
    <row r="11" spans="1:1" x14ac:dyDescent="0.25">
      <c r="A11" s="5" t="s">
        <v>6</v>
      </c>
    </row>
    <row r="12" spans="1:1" x14ac:dyDescent="0.25">
      <c r="A12" s="27" t="s">
        <v>7</v>
      </c>
    </row>
    <row r="14" spans="1:1" x14ac:dyDescent="0.25">
      <c r="A14" s="12" t="s">
        <v>0</v>
      </c>
    </row>
    <row r="16" spans="1:1" x14ac:dyDescent="0.25">
      <c r="A16" s="12" t="s">
        <v>1</v>
      </c>
    </row>
    <row r="18" spans="1:1" ht="63" x14ac:dyDescent="0.25">
      <c r="A18" s="3" t="s">
        <v>2</v>
      </c>
    </row>
  </sheetData>
  <hyperlinks>
    <hyperlink ref="A12" r:id="rId1" display="http://www.cassbeth.com/covid-19" xr:uid="{7CA8E884-4B9B-4ECC-8776-D3151F6039C1}"/>
  </hyperlinks>
  <pageMargins left="0.7" right="0.7" top="0.75" bottom="0.75" header="0.3" footer="0.3"/>
  <pageSetup orientation="portrait" horizontalDpi="0"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75C7F-8C29-46D9-BD5B-E30657F0B4C2}">
  <dimension ref="A1:U70"/>
  <sheetViews>
    <sheetView workbookViewId="0"/>
  </sheetViews>
  <sheetFormatPr defaultRowHeight="15" x14ac:dyDescent="0.25"/>
  <cols>
    <col min="1" max="1" width="11.28515625" customWidth="1"/>
    <col min="2" max="2" width="9.5703125" customWidth="1"/>
    <col min="3" max="3" width="12.140625" customWidth="1"/>
    <col min="4" max="5" width="11" customWidth="1"/>
    <col min="6" max="7" width="13.140625" customWidth="1"/>
    <col min="8" max="8" width="12.42578125" bestFit="1" customWidth="1"/>
    <col min="9" max="10" width="10.140625" bestFit="1" customWidth="1"/>
    <col min="11" max="11" width="11.28515625" bestFit="1" customWidth="1"/>
    <col min="12" max="12" width="10.5703125" customWidth="1"/>
    <col min="13" max="13" width="10.140625" bestFit="1" customWidth="1"/>
    <col min="14" max="15" width="9.28515625" bestFit="1" customWidth="1"/>
    <col min="16" max="17" width="10.140625" bestFit="1" customWidth="1"/>
    <col min="18" max="18" width="9.28515625" bestFit="1" customWidth="1"/>
    <col min="19" max="19" width="11.140625" bestFit="1" customWidth="1"/>
  </cols>
  <sheetData>
    <row r="1" spans="1:16" x14ac:dyDescent="0.25">
      <c r="A1" t="s">
        <v>1616</v>
      </c>
    </row>
    <row r="2" spans="1:16" x14ac:dyDescent="0.25">
      <c r="I2" s="146">
        <v>0.02</v>
      </c>
      <c r="J2" s="146">
        <v>0.03</v>
      </c>
      <c r="K2" s="146">
        <v>3.5000000000000003E-2</v>
      </c>
    </row>
    <row r="3" spans="1:16" s="2" customFormat="1" ht="90" x14ac:dyDescent="0.25">
      <c r="A3" s="42" t="s">
        <v>13</v>
      </c>
      <c r="B3" s="42" t="s">
        <v>1619</v>
      </c>
      <c r="C3" s="42" t="s">
        <v>2107</v>
      </c>
      <c r="D3" s="42" t="s">
        <v>1618</v>
      </c>
      <c r="E3" s="42" t="s">
        <v>2108</v>
      </c>
      <c r="F3" s="42" t="s">
        <v>1617</v>
      </c>
      <c r="G3" s="42" t="s">
        <v>2110</v>
      </c>
      <c r="H3" s="42" t="s">
        <v>1615</v>
      </c>
      <c r="I3" s="42" t="s">
        <v>1620</v>
      </c>
      <c r="J3" s="42" t="s">
        <v>1621</v>
      </c>
      <c r="K3" s="42" t="s">
        <v>1622</v>
      </c>
      <c r="L3" s="42" t="s">
        <v>2102</v>
      </c>
      <c r="M3" s="42" t="s">
        <v>2103</v>
      </c>
      <c r="N3" s="42" t="s">
        <v>2104</v>
      </c>
      <c r="O3" s="42" t="s">
        <v>2106</v>
      </c>
      <c r="P3" s="28" t="s">
        <v>388</v>
      </c>
    </row>
    <row r="4" spans="1:16" x14ac:dyDescent="0.25">
      <c r="A4" s="30">
        <v>328000000</v>
      </c>
      <c r="B4" s="34">
        <v>0.1</v>
      </c>
      <c r="C4" s="30">
        <f>A4*(1-B4)</f>
        <v>295200000</v>
      </c>
      <c r="D4" s="34">
        <v>0.7</v>
      </c>
      <c r="E4" s="30">
        <f>C4*(D4)</f>
        <v>206640000</v>
      </c>
      <c r="F4" s="34">
        <v>0.7</v>
      </c>
      <c r="G4" s="30">
        <f>C4-E4</f>
        <v>88560000</v>
      </c>
      <c r="H4" s="30">
        <f t="shared" ref="H4:H7" si="0">A4*(1-B4)-A4*(1-B4)*F4*D4</f>
        <v>150552000</v>
      </c>
      <c r="I4" s="30">
        <f>$H4*I$2</f>
        <v>3011040</v>
      </c>
      <c r="J4" s="30">
        <f t="shared" ref="J4" si="1">$H4*J$2</f>
        <v>4516560</v>
      </c>
      <c r="K4" s="30">
        <f>$H4*K$2</f>
        <v>5269320.0000000009</v>
      </c>
      <c r="L4" s="34">
        <v>0.9</v>
      </c>
      <c r="M4" s="30">
        <f>K4*(1-L4)</f>
        <v>526932</v>
      </c>
      <c r="N4" s="34">
        <v>0.28000000000000003</v>
      </c>
      <c r="O4" s="30">
        <f>M4*(1-N4)</f>
        <v>379391.04</v>
      </c>
      <c r="P4" t="s">
        <v>1625</v>
      </c>
    </row>
    <row r="5" spans="1:16" x14ac:dyDescent="0.25">
      <c r="A5" s="30">
        <v>328000000</v>
      </c>
      <c r="B5" s="34">
        <v>0.1</v>
      </c>
      <c r="C5" s="30">
        <f t="shared" ref="C5:C7" si="2">A5*(1-B5)</f>
        <v>295200000</v>
      </c>
      <c r="D5" s="34">
        <v>0.9</v>
      </c>
      <c r="E5" s="30">
        <f t="shared" ref="E5:E12" si="3">C5*(D5)</f>
        <v>265680000</v>
      </c>
      <c r="F5" s="34">
        <v>0.9</v>
      </c>
      <c r="G5" s="30">
        <f t="shared" ref="G5:G7" si="4">C5-E5</f>
        <v>29520000</v>
      </c>
      <c r="H5" s="30">
        <f t="shared" si="0"/>
        <v>56088000</v>
      </c>
      <c r="I5" s="30">
        <f t="shared" ref="I5:K7" si="5">$H5*I$2</f>
        <v>1121760</v>
      </c>
      <c r="J5" s="30">
        <f t="shared" si="5"/>
        <v>1682640</v>
      </c>
      <c r="K5" s="30">
        <f t="shared" si="5"/>
        <v>1963080.0000000002</v>
      </c>
      <c r="L5" s="34">
        <v>0.9</v>
      </c>
      <c r="M5" s="30">
        <f t="shared" ref="M5:M7" si="6">K5*(1-L5)</f>
        <v>196307.99999999997</v>
      </c>
      <c r="N5" s="34">
        <v>0.28000000000000003</v>
      </c>
      <c r="O5" s="30">
        <f t="shared" ref="O5:O7" si="7">M5*(1-N5)</f>
        <v>141341.75999999998</v>
      </c>
      <c r="P5" t="s">
        <v>1626</v>
      </c>
    </row>
    <row r="6" spans="1:16" x14ac:dyDescent="0.25">
      <c r="A6" s="30">
        <v>328000000</v>
      </c>
      <c r="B6" s="34">
        <v>0</v>
      </c>
      <c r="C6" s="30">
        <f t="shared" si="2"/>
        <v>328000000</v>
      </c>
      <c r="D6" s="34">
        <v>0.7</v>
      </c>
      <c r="E6" s="30">
        <f t="shared" si="3"/>
        <v>229600000</v>
      </c>
      <c r="F6" s="34">
        <v>0.7</v>
      </c>
      <c r="G6" s="30">
        <f t="shared" si="4"/>
        <v>98400000</v>
      </c>
      <c r="H6" s="30">
        <f t="shared" si="0"/>
        <v>167280000</v>
      </c>
      <c r="I6" s="30">
        <f t="shared" si="5"/>
        <v>3345600</v>
      </c>
      <c r="J6" s="30">
        <f t="shared" si="5"/>
        <v>5018400</v>
      </c>
      <c r="K6" s="30">
        <f t="shared" si="5"/>
        <v>5854800.0000000009</v>
      </c>
      <c r="L6" s="34">
        <v>0.9</v>
      </c>
      <c r="M6" s="30">
        <f t="shared" si="6"/>
        <v>585480</v>
      </c>
      <c r="N6" s="34">
        <v>0.28000000000000003</v>
      </c>
      <c r="O6" s="30">
        <f t="shared" si="7"/>
        <v>421545.6</v>
      </c>
      <c r="P6" t="s">
        <v>1627</v>
      </c>
    </row>
    <row r="7" spans="1:16" x14ac:dyDescent="0.25">
      <c r="A7" s="30">
        <v>328000000</v>
      </c>
      <c r="B7" s="34">
        <v>0</v>
      </c>
      <c r="C7" s="30">
        <f t="shared" si="2"/>
        <v>328000000</v>
      </c>
      <c r="D7" s="34">
        <v>0.9</v>
      </c>
      <c r="E7" s="30">
        <f t="shared" si="3"/>
        <v>295200000</v>
      </c>
      <c r="F7" s="34">
        <v>0.9</v>
      </c>
      <c r="G7" s="30">
        <f t="shared" si="4"/>
        <v>32800000</v>
      </c>
      <c r="H7" s="30">
        <f t="shared" si="0"/>
        <v>62320000</v>
      </c>
      <c r="I7" s="30">
        <f t="shared" si="5"/>
        <v>1246400</v>
      </c>
      <c r="J7" s="30">
        <f t="shared" si="5"/>
        <v>1869600</v>
      </c>
      <c r="K7" s="30">
        <f t="shared" si="5"/>
        <v>2181200</v>
      </c>
      <c r="L7" s="34">
        <v>0.9</v>
      </c>
      <c r="M7" s="30">
        <f t="shared" si="6"/>
        <v>218119.99999999994</v>
      </c>
      <c r="N7" s="34">
        <v>0.28000000000000003</v>
      </c>
      <c r="O7" s="30">
        <f t="shared" si="7"/>
        <v>157046.39999999997</v>
      </c>
      <c r="P7" t="s">
        <v>1628</v>
      </c>
    </row>
    <row r="8" spans="1:16" x14ac:dyDescent="0.25">
      <c r="A8" s="30"/>
      <c r="B8" s="34"/>
      <c r="C8" s="34"/>
      <c r="D8" s="34"/>
      <c r="E8" s="34"/>
      <c r="F8" s="34"/>
      <c r="G8" s="34"/>
      <c r="H8" s="30"/>
      <c r="I8" s="30"/>
      <c r="L8" s="34"/>
    </row>
    <row r="9" spans="1:16" x14ac:dyDescent="0.25">
      <c r="A9" s="30">
        <v>328000000</v>
      </c>
      <c r="B9" s="34">
        <v>0</v>
      </c>
      <c r="C9" s="30">
        <f t="shared" ref="C9:C12" si="8">A9*(1-B9)</f>
        <v>328000000</v>
      </c>
      <c r="D9" s="34">
        <v>0</v>
      </c>
      <c r="E9" s="30">
        <f t="shared" si="3"/>
        <v>0</v>
      </c>
      <c r="F9" s="34">
        <v>0</v>
      </c>
      <c r="G9" s="30">
        <f t="shared" ref="G9:G10" si="9">C9-E9</f>
        <v>328000000</v>
      </c>
      <c r="H9" s="30">
        <f t="shared" ref="H9:H10" si="10">A9*(1-B9)-A9*(1-B9)*F9*D9</f>
        <v>328000000</v>
      </c>
      <c r="I9" s="30">
        <f>$H9*I$2</f>
        <v>6560000</v>
      </c>
      <c r="J9" s="30">
        <f t="shared" ref="J9:K12" si="11">$H9*J$2</f>
        <v>9840000</v>
      </c>
      <c r="K9" s="30">
        <f t="shared" si="11"/>
        <v>11480000.000000002</v>
      </c>
      <c r="L9" s="34">
        <v>0.9</v>
      </c>
      <c r="M9" s="30">
        <f t="shared" ref="M9:M10" si="12">K9*(1-L9)</f>
        <v>1148000</v>
      </c>
      <c r="N9" s="34">
        <v>0.28000000000000003</v>
      </c>
      <c r="O9" s="30">
        <f t="shared" ref="O9:O10" si="13">M9*(1-N9)</f>
        <v>826560</v>
      </c>
      <c r="P9" t="s">
        <v>1629</v>
      </c>
    </row>
    <row r="10" spans="1:16" x14ac:dyDescent="0.25">
      <c r="A10" s="30">
        <v>328000000</v>
      </c>
      <c r="B10" s="34">
        <v>0.1</v>
      </c>
      <c r="C10" s="30">
        <f t="shared" si="8"/>
        <v>295200000</v>
      </c>
      <c r="D10" s="34">
        <v>0</v>
      </c>
      <c r="E10" s="30">
        <f t="shared" si="3"/>
        <v>0</v>
      </c>
      <c r="F10" s="34">
        <v>0</v>
      </c>
      <c r="G10" s="30">
        <f t="shared" si="9"/>
        <v>295200000</v>
      </c>
      <c r="H10" s="30">
        <f t="shared" si="10"/>
        <v>295200000</v>
      </c>
      <c r="I10" s="30">
        <f>$H10*I$2</f>
        <v>5904000</v>
      </c>
      <c r="J10" s="30">
        <f t="shared" si="11"/>
        <v>8856000</v>
      </c>
      <c r="K10" s="30">
        <f t="shared" si="11"/>
        <v>10332000.000000002</v>
      </c>
      <c r="L10" s="34">
        <v>0.9</v>
      </c>
      <c r="M10" s="30">
        <f t="shared" si="12"/>
        <v>1033200</v>
      </c>
      <c r="N10" s="34">
        <v>0.28000000000000003</v>
      </c>
      <c r="O10" s="30">
        <f t="shared" si="13"/>
        <v>743904</v>
      </c>
      <c r="P10" t="s">
        <v>1629</v>
      </c>
    </row>
    <row r="11" spans="1:16" x14ac:dyDescent="0.25">
      <c r="A11" s="30"/>
      <c r="B11" s="34"/>
      <c r="C11" s="34"/>
      <c r="D11" s="34"/>
      <c r="E11" s="34"/>
      <c r="F11" s="34"/>
      <c r="G11" s="34"/>
      <c r="H11" s="30"/>
      <c r="I11" s="30"/>
      <c r="J11" s="30"/>
      <c r="K11" s="30"/>
      <c r="L11" s="34"/>
      <c r="M11" s="30"/>
      <c r="N11" s="34"/>
      <c r="O11" s="30"/>
    </row>
    <row r="12" spans="1:16" x14ac:dyDescent="0.25">
      <c r="A12" s="30">
        <v>328000000</v>
      </c>
      <c r="B12" s="34">
        <v>0.1</v>
      </c>
      <c r="C12" s="30">
        <f t="shared" si="8"/>
        <v>295200000</v>
      </c>
      <c r="D12" s="34">
        <v>0.7</v>
      </c>
      <c r="E12" s="30">
        <f t="shared" si="3"/>
        <v>206640000</v>
      </c>
      <c r="F12" s="34">
        <v>0.7</v>
      </c>
      <c r="G12" s="30">
        <f>C12-E12</f>
        <v>88560000</v>
      </c>
      <c r="H12" s="30">
        <f>A12*(1-B12)-A12*(1-B12)*F12*D12</f>
        <v>150552000</v>
      </c>
      <c r="I12" s="30">
        <f>$H12*I$2</f>
        <v>3011040</v>
      </c>
      <c r="J12" s="30">
        <f t="shared" si="11"/>
        <v>4516560</v>
      </c>
      <c r="K12" s="30">
        <f t="shared" si="11"/>
        <v>5269320.0000000009</v>
      </c>
      <c r="L12" s="34">
        <v>0.9</v>
      </c>
      <c r="M12" s="30">
        <f>K12*(1-L12)</f>
        <v>526932</v>
      </c>
      <c r="N12" s="34">
        <v>0.28000000000000003</v>
      </c>
      <c r="O12" s="30">
        <f>M12*(1-N12)</f>
        <v>379391.04</v>
      </c>
      <c r="P12" t="s">
        <v>2109</v>
      </c>
    </row>
    <row r="13" spans="1:16" x14ac:dyDescent="0.25">
      <c r="A13" s="30"/>
      <c r="B13" s="34"/>
      <c r="C13" s="34"/>
      <c r="D13" s="34"/>
      <c r="E13" s="34"/>
      <c r="F13" s="34"/>
      <c r="G13" s="34"/>
      <c r="H13" s="30">
        <f>E12*(1-F12)+C12-E12</f>
        <v>150552000</v>
      </c>
      <c r="I13" s="30"/>
      <c r="P13" t="s">
        <v>2109</v>
      </c>
    </row>
    <row r="14" spans="1:16" x14ac:dyDescent="0.25">
      <c r="A14" t="s">
        <v>2105</v>
      </c>
    </row>
    <row r="16" spans="1:16" x14ac:dyDescent="0.25">
      <c r="A16" t="s">
        <v>3865</v>
      </c>
      <c r="I16" s="146">
        <v>0.02</v>
      </c>
      <c r="J16" s="146">
        <v>0.03</v>
      </c>
      <c r="K16" s="146">
        <v>3.5000000000000003E-2</v>
      </c>
    </row>
    <row r="17" spans="1:21" s="2" customFormat="1" ht="75" x14ac:dyDescent="0.25">
      <c r="A17" s="42" t="s">
        <v>13</v>
      </c>
      <c r="B17" s="42" t="s">
        <v>1619</v>
      </c>
      <c r="C17" s="42" t="s">
        <v>2107</v>
      </c>
      <c r="D17" s="42" t="s">
        <v>1618</v>
      </c>
      <c r="E17" s="42" t="s">
        <v>2108</v>
      </c>
      <c r="F17" s="42" t="s">
        <v>1617</v>
      </c>
      <c r="G17" s="42" t="s">
        <v>2110</v>
      </c>
      <c r="H17" s="42" t="s">
        <v>1615</v>
      </c>
      <c r="I17" s="42" t="s">
        <v>3861</v>
      </c>
      <c r="J17" s="42" t="s">
        <v>3862</v>
      </c>
      <c r="K17" s="42" t="s">
        <v>3863</v>
      </c>
      <c r="L17" s="42" t="s">
        <v>2102</v>
      </c>
      <c r="M17" s="42" t="s">
        <v>2103</v>
      </c>
      <c r="N17" s="79" t="s">
        <v>861</v>
      </c>
      <c r="O17" s="42" t="s">
        <v>3856</v>
      </c>
      <c r="P17" s="42" t="s">
        <v>3855</v>
      </c>
      <c r="Q17" s="79" t="s">
        <v>2467</v>
      </c>
      <c r="R17" s="79" t="s">
        <v>3857</v>
      </c>
      <c r="S17" s="79" t="s">
        <v>3858</v>
      </c>
      <c r="T17" s="79" t="s">
        <v>1266</v>
      </c>
      <c r="U17" s="79" t="s">
        <v>3860</v>
      </c>
    </row>
    <row r="18" spans="1:21" x14ac:dyDescent="0.25">
      <c r="A18" s="30">
        <v>328000000</v>
      </c>
      <c r="B18" s="34">
        <v>0.1</v>
      </c>
      <c r="C18" s="30">
        <f t="shared" ref="C18:C27" si="14">A18*(1-B18)</f>
        <v>295200000</v>
      </c>
      <c r="D18" s="34">
        <v>0.7</v>
      </c>
      <c r="E18" s="30">
        <f t="shared" ref="E18:E27" si="15">C18*(D18)</f>
        <v>206640000</v>
      </c>
      <c r="F18" s="34">
        <v>0.9</v>
      </c>
      <c r="G18" s="30">
        <f t="shared" ref="G18:G27" si="16">C18-E18</f>
        <v>88560000</v>
      </c>
      <c r="H18" s="30">
        <f>G18+E18*(1-F18)</f>
        <v>109224000</v>
      </c>
      <c r="I18" s="30">
        <f t="shared" ref="I18:I27" si="17">$H18*I$2</f>
        <v>2184480</v>
      </c>
      <c r="J18" s="30">
        <f t="shared" ref="J18:J27" si="18">$H18*J$2</f>
        <v>3276720</v>
      </c>
      <c r="K18" s="30">
        <f t="shared" ref="K18:K27" si="19">$H18*K$2</f>
        <v>3822840.0000000005</v>
      </c>
      <c r="L18" s="34">
        <v>0</v>
      </c>
      <c r="M18" s="30">
        <f t="shared" ref="M18:M27" si="20">K18*(1-L18)</f>
        <v>3822840.0000000005</v>
      </c>
      <c r="N18">
        <v>1</v>
      </c>
      <c r="O18" s="34">
        <f>1-Probability!K6</f>
        <v>6.1992105025769906E-3</v>
      </c>
      <c r="P18" s="30">
        <f t="shared" ref="P18:P27" si="21">M18*(1-O18)</f>
        <v>3799141.4101223289</v>
      </c>
      <c r="Q18" s="30">
        <f t="shared" ref="Q18:Q27" si="22">K18-P18</f>
        <v>23698.589877671562</v>
      </c>
      <c r="R18" s="34">
        <v>0.03</v>
      </c>
      <c r="S18" s="30">
        <f>A18*R18</f>
        <v>9840000</v>
      </c>
      <c r="T18" s="30">
        <f>P18*R18</f>
        <v>113974.24230366986</v>
      </c>
      <c r="U18" s="30">
        <f>Q18*R18</f>
        <v>710.95769633014686</v>
      </c>
    </row>
    <row r="19" spans="1:21" x14ac:dyDescent="0.25">
      <c r="A19" s="30">
        <v>328000000</v>
      </c>
      <c r="B19" s="34">
        <v>0.1</v>
      </c>
      <c r="C19" s="30">
        <f t="shared" si="14"/>
        <v>295200000</v>
      </c>
      <c r="D19" s="34">
        <f>D18</f>
        <v>0.7</v>
      </c>
      <c r="E19" s="30">
        <f t="shared" si="15"/>
        <v>206640000</v>
      </c>
      <c r="F19" s="34">
        <v>0.9</v>
      </c>
      <c r="G19" s="30">
        <f t="shared" si="16"/>
        <v>88560000</v>
      </c>
      <c r="H19" s="30">
        <f t="shared" ref="H19:H27" si="23">G19+E19*(1-F19)</f>
        <v>109224000</v>
      </c>
      <c r="I19" s="30">
        <f t="shared" si="17"/>
        <v>2184480</v>
      </c>
      <c r="J19" s="30">
        <f t="shared" si="18"/>
        <v>3276720</v>
      </c>
      <c r="K19" s="30">
        <f t="shared" si="19"/>
        <v>3822840.0000000005</v>
      </c>
      <c r="L19" s="34">
        <v>0</v>
      </c>
      <c r="M19" s="30">
        <f t="shared" si="20"/>
        <v>3822840.0000000005</v>
      </c>
      <c r="N19">
        <v>4</v>
      </c>
      <c r="O19" s="34">
        <f>1-Probability!K7</f>
        <v>0.28059769291079684</v>
      </c>
      <c r="P19" s="30">
        <f t="shared" si="21"/>
        <v>2750159.9156328896</v>
      </c>
      <c r="Q19" s="30">
        <f t="shared" si="22"/>
        <v>1072680.0843671109</v>
      </c>
      <c r="R19" s="34">
        <v>0.3</v>
      </c>
      <c r="S19" s="30">
        <f t="shared" ref="S19:S27" si="24">A19*R19</f>
        <v>98400000</v>
      </c>
      <c r="T19" s="30">
        <f t="shared" ref="T19:T27" si="25">P19*R19</f>
        <v>825047.97468986688</v>
      </c>
      <c r="U19" s="30">
        <f t="shared" ref="U19:U27" si="26">Q19*R19</f>
        <v>321804.02531013323</v>
      </c>
    </row>
    <row r="20" spans="1:21" x14ac:dyDescent="0.25">
      <c r="A20" s="30">
        <v>328000000</v>
      </c>
      <c r="B20" s="34">
        <v>0.1</v>
      </c>
      <c r="C20" s="30">
        <f t="shared" si="14"/>
        <v>295200000</v>
      </c>
      <c r="D20" s="34">
        <f t="shared" ref="D20:D27" si="27">D19</f>
        <v>0.7</v>
      </c>
      <c r="E20" s="30">
        <f t="shared" si="15"/>
        <v>206640000</v>
      </c>
      <c r="F20" s="34">
        <v>0.9</v>
      </c>
      <c r="G20" s="30">
        <f t="shared" si="16"/>
        <v>88560000</v>
      </c>
      <c r="H20" s="30">
        <f t="shared" si="23"/>
        <v>109224000</v>
      </c>
      <c r="I20" s="30">
        <f t="shared" si="17"/>
        <v>2184480</v>
      </c>
      <c r="J20" s="30">
        <f t="shared" si="18"/>
        <v>3276720</v>
      </c>
      <c r="K20" s="30">
        <f t="shared" si="19"/>
        <v>3822840.0000000005</v>
      </c>
      <c r="L20" s="34">
        <v>0</v>
      </c>
      <c r="M20" s="30">
        <f t="shared" si="20"/>
        <v>3822840.0000000005</v>
      </c>
      <c r="N20">
        <v>12</v>
      </c>
      <c r="O20" s="34">
        <f>1-Probability!K8</f>
        <v>0.65467842957732836</v>
      </c>
      <c r="P20" s="30">
        <f t="shared" si="21"/>
        <v>1320109.1122746062</v>
      </c>
      <c r="Q20" s="30">
        <f t="shared" si="22"/>
        <v>2502730.8877253942</v>
      </c>
      <c r="R20" s="34">
        <v>0.35</v>
      </c>
      <c r="S20" s="30">
        <f t="shared" si="24"/>
        <v>114800000</v>
      </c>
      <c r="T20" s="30">
        <f t="shared" si="25"/>
        <v>462038.18929611216</v>
      </c>
      <c r="U20" s="30">
        <f t="shared" si="26"/>
        <v>875955.81070388795</v>
      </c>
    </row>
    <row r="21" spans="1:21" x14ac:dyDescent="0.25">
      <c r="A21" s="30">
        <v>328000000</v>
      </c>
      <c r="B21" s="34">
        <v>0.1</v>
      </c>
      <c r="C21" s="30">
        <f t="shared" si="14"/>
        <v>295200000</v>
      </c>
      <c r="D21" s="34">
        <f t="shared" si="27"/>
        <v>0.7</v>
      </c>
      <c r="E21" s="30">
        <f t="shared" si="15"/>
        <v>206640000</v>
      </c>
      <c r="F21" s="34">
        <v>0.9</v>
      </c>
      <c r="G21" s="30">
        <f t="shared" si="16"/>
        <v>88560000</v>
      </c>
      <c r="H21" s="30">
        <f t="shared" si="23"/>
        <v>109224000</v>
      </c>
      <c r="I21" s="30">
        <f t="shared" si="17"/>
        <v>2184480</v>
      </c>
      <c r="J21" s="30">
        <f t="shared" si="18"/>
        <v>3276720</v>
      </c>
      <c r="K21" s="30">
        <f t="shared" si="19"/>
        <v>3822840.0000000005</v>
      </c>
      <c r="L21" s="34">
        <v>0</v>
      </c>
      <c r="M21" s="30">
        <f t="shared" si="20"/>
        <v>3822840.0000000005</v>
      </c>
      <c r="N21">
        <v>20</v>
      </c>
      <c r="O21" s="34">
        <f>1-Probability!K9</f>
        <v>0.77556253085236704</v>
      </c>
      <c r="P21" s="30">
        <f t="shared" si="21"/>
        <v>857988.53455633728</v>
      </c>
      <c r="Q21" s="30">
        <f t="shared" si="22"/>
        <v>2964851.4654436633</v>
      </c>
      <c r="R21" s="34">
        <v>0.1</v>
      </c>
      <c r="S21" s="30">
        <f t="shared" si="24"/>
        <v>32800000</v>
      </c>
      <c r="T21" s="30">
        <f t="shared" si="25"/>
        <v>85798.85345563374</v>
      </c>
      <c r="U21" s="30">
        <f t="shared" si="26"/>
        <v>296485.14654436632</v>
      </c>
    </row>
    <row r="22" spans="1:21" x14ac:dyDescent="0.25">
      <c r="A22" s="30">
        <v>328000000</v>
      </c>
      <c r="B22" s="34">
        <v>0.1</v>
      </c>
      <c r="C22" s="30">
        <f t="shared" si="14"/>
        <v>295200000</v>
      </c>
      <c r="D22" s="34">
        <f t="shared" si="27"/>
        <v>0.7</v>
      </c>
      <c r="E22" s="30">
        <f t="shared" si="15"/>
        <v>206640000</v>
      </c>
      <c r="F22" s="34">
        <v>0.9</v>
      </c>
      <c r="G22" s="30">
        <f t="shared" si="16"/>
        <v>88560000</v>
      </c>
      <c r="H22" s="30">
        <f t="shared" si="23"/>
        <v>109224000</v>
      </c>
      <c r="I22" s="30">
        <f t="shared" si="17"/>
        <v>2184480</v>
      </c>
      <c r="J22" s="30">
        <f t="shared" si="18"/>
        <v>3276720</v>
      </c>
      <c r="K22" s="30">
        <f t="shared" si="19"/>
        <v>3822840.0000000005</v>
      </c>
      <c r="L22" s="34">
        <v>0</v>
      </c>
      <c r="M22" s="30">
        <f t="shared" si="20"/>
        <v>3822840.0000000005</v>
      </c>
      <c r="N22">
        <v>24</v>
      </c>
      <c r="O22" s="34">
        <f>1-Probability!K10</f>
        <v>0.8091220115516129</v>
      </c>
      <c r="P22" s="30">
        <f t="shared" si="21"/>
        <v>729696.00936003227</v>
      </c>
      <c r="Q22" s="30">
        <f t="shared" si="22"/>
        <v>3093143.9906399683</v>
      </c>
      <c r="R22" s="34">
        <v>0.04</v>
      </c>
      <c r="S22" s="30">
        <f t="shared" si="24"/>
        <v>13120000</v>
      </c>
      <c r="T22" s="30">
        <f t="shared" si="25"/>
        <v>29187.84037440129</v>
      </c>
      <c r="U22" s="30">
        <f t="shared" si="26"/>
        <v>123725.75962559873</v>
      </c>
    </row>
    <row r="23" spans="1:21" x14ac:dyDescent="0.25">
      <c r="A23" s="30">
        <v>328000000</v>
      </c>
      <c r="B23" s="34">
        <v>0.1</v>
      </c>
      <c r="C23" s="30">
        <f t="shared" si="14"/>
        <v>295200000</v>
      </c>
      <c r="D23" s="34">
        <f t="shared" si="27"/>
        <v>0.7</v>
      </c>
      <c r="E23" s="30">
        <f t="shared" si="15"/>
        <v>206640000</v>
      </c>
      <c r="F23" s="34">
        <v>0.9</v>
      </c>
      <c r="G23" s="30">
        <f t="shared" si="16"/>
        <v>88560000</v>
      </c>
      <c r="H23" s="30">
        <f t="shared" si="23"/>
        <v>109224000</v>
      </c>
      <c r="I23" s="30">
        <f t="shared" si="17"/>
        <v>2184480</v>
      </c>
      <c r="J23" s="30">
        <f t="shared" si="18"/>
        <v>3276720</v>
      </c>
      <c r="K23" s="30">
        <f t="shared" si="19"/>
        <v>3822840.0000000005</v>
      </c>
      <c r="L23" s="34">
        <v>0.9</v>
      </c>
      <c r="M23" s="30">
        <f t="shared" si="20"/>
        <v>382283.99999999994</v>
      </c>
      <c r="N23">
        <v>1</v>
      </c>
      <c r="O23" s="34">
        <f>1-Probability!K6</f>
        <v>6.1992105025769906E-3</v>
      </c>
      <c r="P23" s="30">
        <f t="shared" si="21"/>
        <v>379914.14101223281</v>
      </c>
      <c r="Q23" s="30">
        <f t="shared" si="22"/>
        <v>3442925.8589877677</v>
      </c>
      <c r="R23" s="34">
        <v>0.1</v>
      </c>
      <c r="S23" s="30">
        <f t="shared" si="24"/>
        <v>32800000</v>
      </c>
      <c r="T23" s="30">
        <f t="shared" si="25"/>
        <v>37991.414101223279</v>
      </c>
      <c r="U23" s="30">
        <f t="shared" si="26"/>
        <v>344292.58589877677</v>
      </c>
    </row>
    <row r="24" spans="1:21" x14ac:dyDescent="0.25">
      <c r="A24" s="30">
        <v>328000000</v>
      </c>
      <c r="B24" s="34">
        <v>0.1</v>
      </c>
      <c r="C24" s="30">
        <f t="shared" si="14"/>
        <v>295200000</v>
      </c>
      <c r="D24" s="34">
        <f t="shared" si="27"/>
        <v>0.7</v>
      </c>
      <c r="E24" s="30">
        <f t="shared" si="15"/>
        <v>206640000</v>
      </c>
      <c r="F24" s="34">
        <v>0.9</v>
      </c>
      <c r="G24" s="30">
        <f t="shared" si="16"/>
        <v>88560000</v>
      </c>
      <c r="H24" s="30">
        <f t="shared" si="23"/>
        <v>109224000</v>
      </c>
      <c r="I24" s="30">
        <f t="shared" si="17"/>
        <v>2184480</v>
      </c>
      <c r="J24" s="30">
        <f t="shared" si="18"/>
        <v>3276720</v>
      </c>
      <c r="K24" s="30">
        <f t="shared" si="19"/>
        <v>3822840.0000000005</v>
      </c>
      <c r="L24" s="34">
        <v>0.9</v>
      </c>
      <c r="M24" s="30">
        <f t="shared" si="20"/>
        <v>382283.99999999994</v>
      </c>
      <c r="N24">
        <v>4</v>
      </c>
      <c r="O24" s="34">
        <f>1-Probability!K7</f>
        <v>0.28059769291079684</v>
      </c>
      <c r="P24" s="30">
        <f t="shared" si="21"/>
        <v>275015.9915632889</v>
      </c>
      <c r="Q24" s="30">
        <f t="shared" si="22"/>
        <v>3547824.0084367115</v>
      </c>
      <c r="R24" s="34">
        <v>0.05</v>
      </c>
      <c r="S24" s="30">
        <f t="shared" si="24"/>
        <v>16400000</v>
      </c>
      <c r="T24" s="30">
        <f t="shared" si="25"/>
        <v>13750.799578164446</v>
      </c>
      <c r="U24" s="30">
        <f t="shared" si="26"/>
        <v>177391.20042183559</v>
      </c>
    </row>
    <row r="25" spans="1:21" x14ac:dyDescent="0.25">
      <c r="A25" s="30">
        <v>328000000</v>
      </c>
      <c r="B25" s="34">
        <v>0.1</v>
      </c>
      <c r="C25" s="30">
        <f t="shared" si="14"/>
        <v>295200000</v>
      </c>
      <c r="D25" s="34">
        <f t="shared" si="27"/>
        <v>0.7</v>
      </c>
      <c r="E25" s="30">
        <f t="shared" si="15"/>
        <v>206640000</v>
      </c>
      <c r="F25" s="34">
        <v>0.9</v>
      </c>
      <c r="G25" s="30">
        <f t="shared" si="16"/>
        <v>88560000</v>
      </c>
      <c r="H25" s="30">
        <f t="shared" si="23"/>
        <v>109224000</v>
      </c>
      <c r="I25" s="30">
        <f t="shared" si="17"/>
        <v>2184480</v>
      </c>
      <c r="J25" s="30">
        <f t="shared" si="18"/>
        <v>3276720</v>
      </c>
      <c r="K25" s="30">
        <f t="shared" si="19"/>
        <v>3822840.0000000005</v>
      </c>
      <c r="L25" s="34">
        <v>0.9</v>
      </c>
      <c r="M25" s="30">
        <f t="shared" si="20"/>
        <v>382283.99999999994</v>
      </c>
      <c r="N25">
        <v>12</v>
      </c>
      <c r="O25" s="34">
        <f>1-Probability!K8</f>
        <v>0.65467842957732836</v>
      </c>
      <c r="P25" s="30">
        <f t="shared" si="21"/>
        <v>132010.91122746057</v>
      </c>
      <c r="Q25" s="30">
        <f t="shared" si="22"/>
        <v>3690829.08877254</v>
      </c>
      <c r="R25" s="34">
        <v>0.01</v>
      </c>
      <c r="S25" s="30">
        <f t="shared" si="24"/>
        <v>3280000</v>
      </c>
      <c r="T25" s="30">
        <f t="shared" si="25"/>
        <v>1320.1091122746056</v>
      </c>
      <c r="U25" s="30">
        <f t="shared" si="26"/>
        <v>36908.290887725401</v>
      </c>
    </row>
    <row r="26" spans="1:21" x14ac:dyDescent="0.25">
      <c r="A26" s="30">
        <v>328000000</v>
      </c>
      <c r="B26" s="34">
        <v>0.1</v>
      </c>
      <c r="C26" s="30">
        <f t="shared" si="14"/>
        <v>295200000</v>
      </c>
      <c r="D26" s="34">
        <f t="shared" si="27"/>
        <v>0.7</v>
      </c>
      <c r="E26" s="30">
        <f t="shared" si="15"/>
        <v>206640000</v>
      </c>
      <c r="F26" s="34">
        <v>0.9</v>
      </c>
      <c r="G26" s="30">
        <f t="shared" si="16"/>
        <v>88560000</v>
      </c>
      <c r="H26" s="30">
        <f t="shared" si="23"/>
        <v>109224000</v>
      </c>
      <c r="I26" s="30">
        <f t="shared" si="17"/>
        <v>2184480</v>
      </c>
      <c r="J26" s="30">
        <f t="shared" si="18"/>
        <v>3276720</v>
      </c>
      <c r="K26" s="30">
        <f t="shared" si="19"/>
        <v>3822840.0000000005</v>
      </c>
      <c r="L26" s="34">
        <v>0.9</v>
      </c>
      <c r="M26" s="30">
        <f t="shared" si="20"/>
        <v>382283.99999999994</v>
      </c>
      <c r="N26">
        <v>20</v>
      </c>
      <c r="O26" s="34">
        <f>1-Probability!K9</f>
        <v>0.77556253085236704</v>
      </c>
      <c r="P26" s="30">
        <f t="shared" si="21"/>
        <v>85798.853455633711</v>
      </c>
      <c r="Q26" s="30">
        <f t="shared" si="22"/>
        <v>3737041.1465443666</v>
      </c>
      <c r="R26" s="34">
        <v>0.01</v>
      </c>
      <c r="S26" s="30">
        <f t="shared" si="24"/>
        <v>3280000</v>
      </c>
      <c r="T26" s="30">
        <f t="shared" si="25"/>
        <v>857.98853455633707</v>
      </c>
      <c r="U26" s="30">
        <f t="shared" si="26"/>
        <v>37370.411465443663</v>
      </c>
    </row>
    <row r="27" spans="1:21" x14ac:dyDescent="0.25">
      <c r="A27" s="30">
        <v>328000000</v>
      </c>
      <c r="B27" s="34">
        <v>0.1</v>
      </c>
      <c r="C27" s="30">
        <f t="shared" si="14"/>
        <v>295200000</v>
      </c>
      <c r="D27" s="34">
        <f t="shared" si="27"/>
        <v>0.7</v>
      </c>
      <c r="E27" s="30">
        <f t="shared" si="15"/>
        <v>206640000</v>
      </c>
      <c r="F27" s="34">
        <v>0.9</v>
      </c>
      <c r="G27" s="30">
        <f t="shared" si="16"/>
        <v>88560000</v>
      </c>
      <c r="H27" s="30">
        <f t="shared" si="23"/>
        <v>109224000</v>
      </c>
      <c r="I27" s="30">
        <f t="shared" si="17"/>
        <v>2184480</v>
      </c>
      <c r="J27" s="30">
        <f t="shared" si="18"/>
        <v>3276720</v>
      </c>
      <c r="K27" s="30">
        <f t="shared" si="19"/>
        <v>3822840.0000000005</v>
      </c>
      <c r="L27" s="34">
        <v>0.9</v>
      </c>
      <c r="M27" s="30">
        <f t="shared" si="20"/>
        <v>382283.99999999994</v>
      </c>
      <c r="N27">
        <v>24</v>
      </c>
      <c r="O27" s="34">
        <f>1-Probability!K10</f>
        <v>0.8091220115516129</v>
      </c>
      <c r="P27" s="30">
        <f t="shared" si="21"/>
        <v>72969.600936003204</v>
      </c>
      <c r="Q27" s="30">
        <f t="shared" si="22"/>
        <v>3749870.3990639974</v>
      </c>
      <c r="R27" s="34">
        <v>0.01</v>
      </c>
      <c r="S27" s="30">
        <f t="shared" si="24"/>
        <v>3280000</v>
      </c>
      <c r="T27" s="30">
        <f t="shared" si="25"/>
        <v>729.69600936003201</v>
      </c>
      <c r="U27" s="30">
        <f t="shared" si="26"/>
        <v>37498.703990639973</v>
      </c>
    </row>
    <row r="28" spans="1:21" x14ac:dyDescent="0.25">
      <c r="Q28" t="s">
        <v>3859</v>
      </c>
      <c r="R28" s="34">
        <f>SUM(R18:R27)</f>
        <v>1</v>
      </c>
      <c r="S28" s="30">
        <f>SUM(S18:S27)</f>
        <v>328000000</v>
      </c>
      <c r="T28" s="30">
        <f>SUM(T18:T27)</f>
        <v>1570697.1074552624</v>
      </c>
      <c r="U28" s="30">
        <f>SUM(U18:U27)</f>
        <v>2252142.8925447385</v>
      </c>
    </row>
    <row r="30" spans="1:21" x14ac:dyDescent="0.25">
      <c r="A30" t="s">
        <v>3864</v>
      </c>
      <c r="I30" s="146">
        <v>0.02</v>
      </c>
      <c r="J30" s="146">
        <v>0.03</v>
      </c>
      <c r="K30" s="146">
        <v>3.5000000000000003E-2</v>
      </c>
    </row>
    <row r="31" spans="1:21" s="2" customFormat="1" ht="75" x14ac:dyDescent="0.25">
      <c r="A31" s="42" t="s">
        <v>13</v>
      </c>
      <c r="B31" s="42" t="s">
        <v>1619</v>
      </c>
      <c r="C31" s="42" t="s">
        <v>2107</v>
      </c>
      <c r="D31" s="42" t="s">
        <v>1618</v>
      </c>
      <c r="E31" s="42" t="s">
        <v>2108</v>
      </c>
      <c r="F31" s="42" t="s">
        <v>1617</v>
      </c>
      <c r="G31" s="42" t="s">
        <v>2110</v>
      </c>
      <c r="H31" s="42" t="s">
        <v>1615</v>
      </c>
      <c r="I31" s="42" t="s">
        <v>3861</v>
      </c>
      <c r="J31" s="42" t="s">
        <v>3862</v>
      </c>
      <c r="K31" s="42" t="s">
        <v>3863</v>
      </c>
      <c r="L31" s="42" t="s">
        <v>2102</v>
      </c>
      <c r="M31" s="42" t="s">
        <v>2103</v>
      </c>
      <c r="N31" s="79" t="s">
        <v>861</v>
      </c>
      <c r="O31" s="42" t="s">
        <v>3856</v>
      </c>
      <c r="P31" s="42" t="s">
        <v>3855</v>
      </c>
      <c r="Q31" s="79" t="s">
        <v>2467</v>
      </c>
      <c r="R31" s="79" t="s">
        <v>3857</v>
      </c>
      <c r="S31" s="79" t="s">
        <v>3858</v>
      </c>
      <c r="T31" s="79" t="s">
        <v>1266</v>
      </c>
      <c r="U31" s="79" t="s">
        <v>3860</v>
      </c>
    </row>
    <row r="32" spans="1:21" x14ac:dyDescent="0.25">
      <c r="A32" s="30">
        <v>328000000</v>
      </c>
      <c r="B32" s="34">
        <v>0.1</v>
      </c>
      <c r="C32" s="30">
        <f t="shared" ref="C32:C41" si="28">A32*(1-B32)</f>
        <v>295200000</v>
      </c>
      <c r="D32" s="34">
        <v>0</v>
      </c>
      <c r="E32" s="30">
        <f t="shared" ref="E32:E41" si="29">C32*(D32)</f>
        <v>0</v>
      </c>
      <c r="F32" s="34">
        <v>0.9</v>
      </c>
      <c r="G32" s="30">
        <f t="shared" ref="G32:G41" si="30">C32-E32</f>
        <v>295200000</v>
      </c>
      <c r="H32" s="30">
        <f>G32+E32*(1-F32)</f>
        <v>295200000</v>
      </c>
      <c r="I32" s="30">
        <f t="shared" ref="I32:I41" si="31">$H32*I$2</f>
        <v>5904000</v>
      </c>
      <c r="J32" s="30">
        <f t="shared" ref="J32:J41" si="32">$H32*J$2</f>
        <v>8856000</v>
      </c>
      <c r="K32" s="30">
        <f t="shared" ref="K32:K41" si="33">$H32*K$2</f>
        <v>10332000.000000002</v>
      </c>
      <c r="L32" s="34">
        <v>0</v>
      </c>
      <c r="M32" s="30">
        <f t="shared" ref="M32:M41" si="34">K32*(1-L32)</f>
        <v>10332000.000000002</v>
      </c>
      <c r="N32">
        <v>1</v>
      </c>
      <c r="O32" s="34">
        <f>1-Probability!K6</f>
        <v>6.1992105025769906E-3</v>
      </c>
      <c r="P32" s="30">
        <f t="shared" ref="P32:P41" si="35">M32*(1-O32)</f>
        <v>10267949.757087376</v>
      </c>
      <c r="Q32" s="30">
        <f t="shared" ref="Q32:Q41" si="36">K32-P32</f>
        <v>64050.242912625894</v>
      </c>
      <c r="R32" s="34">
        <v>0.03</v>
      </c>
      <c r="S32" s="30">
        <f>A32*R32</f>
        <v>9840000</v>
      </c>
      <c r="T32" s="30">
        <f>P32*R32</f>
        <v>308038.49271262129</v>
      </c>
      <c r="U32" s="30">
        <f>Q32*R32</f>
        <v>1921.5072873787767</v>
      </c>
    </row>
    <row r="33" spans="1:21" x14ac:dyDescent="0.25">
      <c r="A33" s="30">
        <v>328000000</v>
      </c>
      <c r="B33" s="34">
        <v>0.1</v>
      </c>
      <c r="C33" s="30">
        <f t="shared" si="28"/>
        <v>295200000</v>
      </c>
      <c r="D33" s="34">
        <v>0</v>
      </c>
      <c r="E33" s="30">
        <f t="shared" si="29"/>
        <v>0</v>
      </c>
      <c r="F33" s="34">
        <v>0.9</v>
      </c>
      <c r="G33" s="30">
        <f t="shared" si="30"/>
        <v>295200000</v>
      </c>
      <c r="H33" s="30">
        <f t="shared" ref="H33:H41" si="37">G33+E33*(1-F33)</f>
        <v>295200000</v>
      </c>
      <c r="I33" s="30">
        <f t="shared" si="31"/>
        <v>5904000</v>
      </c>
      <c r="J33" s="30">
        <f t="shared" si="32"/>
        <v>8856000</v>
      </c>
      <c r="K33" s="30">
        <f t="shared" si="33"/>
        <v>10332000.000000002</v>
      </c>
      <c r="L33" s="34">
        <v>0</v>
      </c>
      <c r="M33" s="30">
        <f t="shared" si="34"/>
        <v>10332000.000000002</v>
      </c>
      <c r="N33">
        <v>4</v>
      </c>
      <c r="O33" s="34">
        <f>1-Probability!K7</f>
        <v>0.28059769291079684</v>
      </c>
      <c r="P33" s="30">
        <f t="shared" si="35"/>
        <v>7432864.6368456483</v>
      </c>
      <c r="Q33" s="30">
        <f t="shared" si="36"/>
        <v>2899135.3631543536</v>
      </c>
      <c r="R33" s="34">
        <v>0.3</v>
      </c>
      <c r="S33" s="30">
        <f t="shared" ref="S33:S41" si="38">A33*R33</f>
        <v>98400000</v>
      </c>
      <c r="T33" s="30">
        <f t="shared" ref="T33:T41" si="39">P33*R33</f>
        <v>2229859.3910536943</v>
      </c>
      <c r="U33" s="30">
        <f t="shared" ref="U33:U41" si="40">Q33*R33</f>
        <v>869740.60894630605</v>
      </c>
    </row>
    <row r="34" spans="1:21" x14ac:dyDescent="0.25">
      <c r="A34" s="30">
        <v>328000000</v>
      </c>
      <c r="B34" s="34">
        <v>0.1</v>
      </c>
      <c r="C34" s="30">
        <f t="shared" si="28"/>
        <v>295200000</v>
      </c>
      <c r="D34" s="34">
        <v>0</v>
      </c>
      <c r="E34" s="30">
        <f t="shared" si="29"/>
        <v>0</v>
      </c>
      <c r="F34" s="34">
        <v>0.9</v>
      </c>
      <c r="G34" s="30">
        <f t="shared" si="30"/>
        <v>295200000</v>
      </c>
      <c r="H34" s="30">
        <f t="shared" si="37"/>
        <v>295200000</v>
      </c>
      <c r="I34" s="30">
        <f t="shared" si="31"/>
        <v>5904000</v>
      </c>
      <c r="J34" s="30">
        <f t="shared" si="32"/>
        <v>8856000</v>
      </c>
      <c r="K34" s="30">
        <f t="shared" si="33"/>
        <v>10332000.000000002</v>
      </c>
      <c r="L34" s="34">
        <v>0</v>
      </c>
      <c r="M34" s="30">
        <f t="shared" si="34"/>
        <v>10332000.000000002</v>
      </c>
      <c r="N34">
        <v>12</v>
      </c>
      <c r="O34" s="34">
        <f>1-Probability!K8</f>
        <v>0.65467842957732836</v>
      </c>
      <c r="P34" s="30">
        <f t="shared" si="35"/>
        <v>3567862.4656070438</v>
      </c>
      <c r="Q34" s="30">
        <f t="shared" si="36"/>
        <v>6764137.5343929585</v>
      </c>
      <c r="R34" s="34">
        <v>0.35</v>
      </c>
      <c r="S34" s="30">
        <f t="shared" si="38"/>
        <v>114800000</v>
      </c>
      <c r="T34" s="30">
        <f t="shared" si="39"/>
        <v>1248751.8629624653</v>
      </c>
      <c r="U34" s="30">
        <f t="shared" si="40"/>
        <v>2367448.1370375352</v>
      </c>
    </row>
    <row r="35" spans="1:21" x14ac:dyDescent="0.25">
      <c r="A35" s="30">
        <v>328000000</v>
      </c>
      <c r="B35" s="34">
        <v>0.1</v>
      </c>
      <c r="C35" s="30">
        <f t="shared" si="28"/>
        <v>295200000</v>
      </c>
      <c r="D35" s="34">
        <v>0</v>
      </c>
      <c r="E35" s="30">
        <f t="shared" si="29"/>
        <v>0</v>
      </c>
      <c r="F35" s="34">
        <v>0.9</v>
      </c>
      <c r="G35" s="30">
        <f t="shared" si="30"/>
        <v>295200000</v>
      </c>
      <c r="H35" s="30">
        <f t="shared" si="37"/>
        <v>295200000</v>
      </c>
      <c r="I35" s="30">
        <f t="shared" si="31"/>
        <v>5904000</v>
      </c>
      <c r="J35" s="30">
        <f t="shared" si="32"/>
        <v>8856000</v>
      </c>
      <c r="K35" s="30">
        <f t="shared" si="33"/>
        <v>10332000.000000002</v>
      </c>
      <c r="L35" s="34">
        <v>0</v>
      </c>
      <c r="M35" s="30">
        <f t="shared" si="34"/>
        <v>10332000.000000002</v>
      </c>
      <c r="N35">
        <v>20</v>
      </c>
      <c r="O35" s="34">
        <f>1-Probability!K9</f>
        <v>0.77556253085236704</v>
      </c>
      <c r="P35" s="30">
        <f t="shared" si="35"/>
        <v>2318887.9312333441</v>
      </c>
      <c r="Q35" s="30">
        <f t="shared" si="36"/>
        <v>8013112.0687666573</v>
      </c>
      <c r="R35" s="34">
        <v>0.1</v>
      </c>
      <c r="S35" s="30">
        <f t="shared" si="38"/>
        <v>32800000</v>
      </c>
      <c r="T35" s="30">
        <f t="shared" si="39"/>
        <v>231888.79312333441</v>
      </c>
      <c r="U35" s="30">
        <f t="shared" si="40"/>
        <v>801311.20687666582</v>
      </c>
    </row>
    <row r="36" spans="1:21" x14ac:dyDescent="0.25">
      <c r="A36" s="30">
        <v>328000000</v>
      </c>
      <c r="B36" s="34">
        <v>0.1</v>
      </c>
      <c r="C36" s="30">
        <f t="shared" si="28"/>
        <v>295200000</v>
      </c>
      <c r="D36" s="34">
        <v>0</v>
      </c>
      <c r="E36" s="30">
        <f t="shared" si="29"/>
        <v>0</v>
      </c>
      <c r="F36" s="34">
        <v>0.9</v>
      </c>
      <c r="G36" s="30">
        <f t="shared" si="30"/>
        <v>295200000</v>
      </c>
      <c r="H36" s="30">
        <f t="shared" si="37"/>
        <v>295200000</v>
      </c>
      <c r="I36" s="30">
        <f t="shared" si="31"/>
        <v>5904000</v>
      </c>
      <c r="J36" s="30">
        <f t="shared" si="32"/>
        <v>8856000</v>
      </c>
      <c r="K36" s="30">
        <f t="shared" si="33"/>
        <v>10332000.000000002</v>
      </c>
      <c r="L36" s="34">
        <v>0</v>
      </c>
      <c r="M36" s="30">
        <f t="shared" si="34"/>
        <v>10332000.000000002</v>
      </c>
      <c r="N36">
        <v>24</v>
      </c>
      <c r="O36" s="34">
        <f>1-Probability!K10</f>
        <v>0.8091220115516129</v>
      </c>
      <c r="P36" s="30">
        <f t="shared" si="35"/>
        <v>1972151.376648736</v>
      </c>
      <c r="Q36" s="30">
        <f t="shared" si="36"/>
        <v>8359848.6233512657</v>
      </c>
      <c r="R36" s="34">
        <v>0.04</v>
      </c>
      <c r="S36" s="30">
        <f t="shared" si="38"/>
        <v>13120000</v>
      </c>
      <c r="T36" s="30">
        <f t="shared" si="39"/>
        <v>78886.055065949433</v>
      </c>
      <c r="U36" s="30">
        <f t="shared" si="40"/>
        <v>334393.94493405061</v>
      </c>
    </row>
    <row r="37" spans="1:21" x14ac:dyDescent="0.25">
      <c r="A37" s="30">
        <v>328000000</v>
      </c>
      <c r="B37" s="34">
        <v>0.1</v>
      </c>
      <c r="C37" s="30">
        <f t="shared" si="28"/>
        <v>295200000</v>
      </c>
      <c r="D37" s="34">
        <v>0</v>
      </c>
      <c r="E37" s="30">
        <f t="shared" si="29"/>
        <v>0</v>
      </c>
      <c r="F37" s="34">
        <v>0.9</v>
      </c>
      <c r="G37" s="30">
        <f t="shared" si="30"/>
        <v>295200000</v>
      </c>
      <c r="H37" s="30">
        <f t="shared" si="37"/>
        <v>295200000</v>
      </c>
      <c r="I37" s="30">
        <f t="shared" si="31"/>
        <v>5904000</v>
      </c>
      <c r="J37" s="30">
        <f t="shared" si="32"/>
        <v>8856000</v>
      </c>
      <c r="K37" s="30">
        <f t="shared" si="33"/>
        <v>10332000.000000002</v>
      </c>
      <c r="L37" s="34">
        <v>0.9</v>
      </c>
      <c r="M37" s="30">
        <f t="shared" si="34"/>
        <v>1033200</v>
      </c>
      <c r="N37">
        <v>1</v>
      </c>
      <c r="O37" s="34">
        <f>1-Probability!K6</f>
        <v>6.1992105025769906E-3</v>
      </c>
      <c r="P37" s="30">
        <f t="shared" si="35"/>
        <v>1026794.9757087375</v>
      </c>
      <c r="Q37" s="30">
        <f t="shared" si="36"/>
        <v>9305205.0242912639</v>
      </c>
      <c r="R37" s="34">
        <v>0.1</v>
      </c>
      <c r="S37" s="30">
        <f t="shared" si="38"/>
        <v>32800000</v>
      </c>
      <c r="T37" s="30">
        <f t="shared" si="39"/>
        <v>102679.49757087376</v>
      </c>
      <c r="U37" s="30">
        <f t="shared" si="40"/>
        <v>930520.50242912641</v>
      </c>
    </row>
    <row r="38" spans="1:21" x14ac:dyDescent="0.25">
      <c r="A38" s="30">
        <v>328000000</v>
      </c>
      <c r="B38" s="34">
        <v>0.1</v>
      </c>
      <c r="C38" s="30">
        <f t="shared" si="28"/>
        <v>295200000</v>
      </c>
      <c r="D38" s="34">
        <v>0</v>
      </c>
      <c r="E38" s="30">
        <f t="shared" si="29"/>
        <v>0</v>
      </c>
      <c r="F38" s="34">
        <v>0.9</v>
      </c>
      <c r="G38" s="30">
        <f t="shared" si="30"/>
        <v>295200000</v>
      </c>
      <c r="H38" s="30">
        <f t="shared" si="37"/>
        <v>295200000</v>
      </c>
      <c r="I38" s="30">
        <f t="shared" si="31"/>
        <v>5904000</v>
      </c>
      <c r="J38" s="30">
        <f t="shared" si="32"/>
        <v>8856000</v>
      </c>
      <c r="K38" s="30">
        <f t="shared" si="33"/>
        <v>10332000.000000002</v>
      </c>
      <c r="L38" s="34">
        <v>0.9</v>
      </c>
      <c r="M38" s="30">
        <f t="shared" si="34"/>
        <v>1033200</v>
      </c>
      <c r="N38">
        <v>4</v>
      </c>
      <c r="O38" s="34">
        <f>1-Probability!K7</f>
        <v>0.28059769291079684</v>
      </c>
      <c r="P38" s="30">
        <f t="shared" si="35"/>
        <v>743286.46368456469</v>
      </c>
      <c r="Q38" s="30">
        <f t="shared" si="36"/>
        <v>9588713.5363154374</v>
      </c>
      <c r="R38" s="34">
        <v>0.05</v>
      </c>
      <c r="S38" s="30">
        <f t="shared" si="38"/>
        <v>16400000</v>
      </c>
      <c r="T38" s="30">
        <f t="shared" si="39"/>
        <v>37164.323184228233</v>
      </c>
      <c r="U38" s="30">
        <f t="shared" si="40"/>
        <v>479435.67681577191</v>
      </c>
    </row>
    <row r="39" spans="1:21" x14ac:dyDescent="0.25">
      <c r="A39" s="30">
        <v>328000000</v>
      </c>
      <c r="B39" s="34">
        <v>0.1</v>
      </c>
      <c r="C39" s="30">
        <f t="shared" si="28"/>
        <v>295200000</v>
      </c>
      <c r="D39" s="34">
        <v>0</v>
      </c>
      <c r="E39" s="30">
        <f t="shared" si="29"/>
        <v>0</v>
      </c>
      <c r="F39" s="34">
        <v>0.9</v>
      </c>
      <c r="G39" s="30">
        <f t="shared" si="30"/>
        <v>295200000</v>
      </c>
      <c r="H39" s="30">
        <f t="shared" si="37"/>
        <v>295200000</v>
      </c>
      <c r="I39" s="30">
        <f t="shared" si="31"/>
        <v>5904000</v>
      </c>
      <c r="J39" s="30">
        <f t="shared" si="32"/>
        <v>8856000</v>
      </c>
      <c r="K39" s="30">
        <f t="shared" si="33"/>
        <v>10332000.000000002</v>
      </c>
      <c r="L39" s="34">
        <v>0.9</v>
      </c>
      <c r="M39" s="30">
        <f t="shared" si="34"/>
        <v>1033200</v>
      </c>
      <c r="N39">
        <v>12</v>
      </c>
      <c r="O39" s="34">
        <f>1-Probability!K8</f>
        <v>0.65467842957732836</v>
      </c>
      <c r="P39" s="30">
        <f t="shared" si="35"/>
        <v>356786.24656070431</v>
      </c>
      <c r="Q39" s="30">
        <f t="shared" si="36"/>
        <v>9975213.7534392979</v>
      </c>
      <c r="R39" s="34">
        <v>0.01</v>
      </c>
      <c r="S39" s="30">
        <f t="shared" si="38"/>
        <v>3280000</v>
      </c>
      <c r="T39" s="30">
        <f t="shared" si="39"/>
        <v>3567.8624656070433</v>
      </c>
      <c r="U39" s="30">
        <f t="shared" si="40"/>
        <v>99752.137534392983</v>
      </c>
    </row>
    <row r="40" spans="1:21" x14ac:dyDescent="0.25">
      <c r="A40" s="30">
        <v>328000000</v>
      </c>
      <c r="B40" s="34">
        <v>0.1</v>
      </c>
      <c r="C40" s="30">
        <f t="shared" si="28"/>
        <v>295200000</v>
      </c>
      <c r="D40" s="34">
        <v>0</v>
      </c>
      <c r="E40" s="30">
        <f t="shared" si="29"/>
        <v>0</v>
      </c>
      <c r="F40" s="34">
        <v>0.9</v>
      </c>
      <c r="G40" s="30">
        <f t="shared" si="30"/>
        <v>295200000</v>
      </c>
      <c r="H40" s="30">
        <f t="shared" si="37"/>
        <v>295200000</v>
      </c>
      <c r="I40" s="30">
        <f t="shared" si="31"/>
        <v>5904000</v>
      </c>
      <c r="J40" s="30">
        <f t="shared" si="32"/>
        <v>8856000</v>
      </c>
      <c r="K40" s="30">
        <f t="shared" si="33"/>
        <v>10332000.000000002</v>
      </c>
      <c r="L40" s="34">
        <v>0.9</v>
      </c>
      <c r="M40" s="30">
        <f t="shared" si="34"/>
        <v>1033200</v>
      </c>
      <c r="N40">
        <v>20</v>
      </c>
      <c r="O40" s="34">
        <f>1-Probability!K9</f>
        <v>0.77556253085236704</v>
      </c>
      <c r="P40" s="30">
        <f t="shared" si="35"/>
        <v>231888.79312333438</v>
      </c>
      <c r="Q40" s="30">
        <f t="shared" si="36"/>
        <v>10100111.206876667</v>
      </c>
      <c r="R40" s="34">
        <v>0.01</v>
      </c>
      <c r="S40" s="30">
        <f t="shared" si="38"/>
        <v>3280000</v>
      </c>
      <c r="T40" s="30">
        <f t="shared" si="39"/>
        <v>2318.8879312333438</v>
      </c>
      <c r="U40" s="30">
        <f t="shared" si="40"/>
        <v>101001.11206876667</v>
      </c>
    </row>
    <row r="41" spans="1:21" x14ac:dyDescent="0.25">
      <c r="A41" s="30">
        <v>328000000</v>
      </c>
      <c r="B41" s="34">
        <v>0.1</v>
      </c>
      <c r="C41" s="30">
        <f t="shared" si="28"/>
        <v>295200000</v>
      </c>
      <c r="D41" s="34">
        <v>0</v>
      </c>
      <c r="E41" s="30">
        <f t="shared" si="29"/>
        <v>0</v>
      </c>
      <c r="F41" s="34">
        <v>0.9</v>
      </c>
      <c r="G41" s="30">
        <f t="shared" si="30"/>
        <v>295200000</v>
      </c>
      <c r="H41" s="30">
        <f t="shared" si="37"/>
        <v>295200000</v>
      </c>
      <c r="I41" s="30">
        <f t="shared" si="31"/>
        <v>5904000</v>
      </c>
      <c r="J41" s="30">
        <f t="shared" si="32"/>
        <v>8856000</v>
      </c>
      <c r="K41" s="30">
        <f t="shared" si="33"/>
        <v>10332000.000000002</v>
      </c>
      <c r="L41" s="34">
        <v>0.9</v>
      </c>
      <c r="M41" s="30">
        <f t="shared" si="34"/>
        <v>1033200</v>
      </c>
      <c r="N41">
        <v>24</v>
      </c>
      <c r="O41" s="34">
        <f>1-Probability!K10</f>
        <v>0.8091220115516129</v>
      </c>
      <c r="P41" s="30">
        <f t="shared" si="35"/>
        <v>197215.13766487356</v>
      </c>
      <c r="Q41" s="30">
        <f t="shared" si="36"/>
        <v>10134784.862335129</v>
      </c>
      <c r="R41" s="34">
        <v>0.01</v>
      </c>
      <c r="S41" s="30">
        <f t="shared" si="38"/>
        <v>3280000</v>
      </c>
      <c r="T41" s="30">
        <f t="shared" si="39"/>
        <v>1972.1513766487355</v>
      </c>
      <c r="U41" s="30">
        <f t="shared" si="40"/>
        <v>101347.8486233513</v>
      </c>
    </row>
    <row r="42" spans="1:21" x14ac:dyDescent="0.25">
      <c r="Q42" t="s">
        <v>3859</v>
      </c>
      <c r="R42" s="34">
        <f>SUM(R32:R41)</f>
        <v>1</v>
      </c>
      <c r="S42" s="30">
        <f>SUM(S32:S41)</f>
        <v>328000000</v>
      </c>
      <c r="T42" s="30">
        <f>SUM(T32:T41)</f>
        <v>4245127.3174466565</v>
      </c>
      <c r="U42" s="30">
        <f>SUM(U32:U41)</f>
        <v>6086872.6825533463</v>
      </c>
    </row>
    <row r="44" spans="1:21" x14ac:dyDescent="0.25">
      <c r="A44" t="s">
        <v>3866</v>
      </c>
      <c r="I44" s="146">
        <v>0.02</v>
      </c>
      <c r="J44" s="146">
        <v>0.03</v>
      </c>
      <c r="K44" s="146">
        <v>3.5000000000000003E-2</v>
      </c>
    </row>
    <row r="45" spans="1:21" s="2" customFormat="1" ht="75" x14ac:dyDescent="0.25">
      <c r="A45" s="42" t="s">
        <v>13</v>
      </c>
      <c r="B45" s="42" t="s">
        <v>1619</v>
      </c>
      <c r="C45" s="42" t="s">
        <v>2107</v>
      </c>
      <c r="D45" s="42" t="s">
        <v>1618</v>
      </c>
      <c r="E45" s="42" t="s">
        <v>2108</v>
      </c>
      <c r="F45" s="42" t="s">
        <v>1617</v>
      </c>
      <c r="G45" s="42" t="s">
        <v>2110</v>
      </c>
      <c r="H45" s="42" t="s">
        <v>1615</v>
      </c>
      <c r="I45" s="42" t="s">
        <v>3861</v>
      </c>
      <c r="J45" s="42" t="s">
        <v>3862</v>
      </c>
      <c r="K45" s="42" t="s">
        <v>3863</v>
      </c>
      <c r="L45" s="42" t="s">
        <v>2102</v>
      </c>
      <c r="M45" s="42" t="s">
        <v>2103</v>
      </c>
      <c r="N45" s="79" t="s">
        <v>861</v>
      </c>
      <c r="O45" s="42" t="s">
        <v>3856</v>
      </c>
      <c r="P45" s="42" t="s">
        <v>3855</v>
      </c>
      <c r="Q45" s="79" t="s">
        <v>2467</v>
      </c>
      <c r="R45" s="79" t="s">
        <v>3857</v>
      </c>
      <c r="S45" s="79" t="s">
        <v>3858</v>
      </c>
      <c r="T45" s="79" t="s">
        <v>1266</v>
      </c>
      <c r="U45" s="79" t="s">
        <v>3860</v>
      </c>
    </row>
    <row r="46" spans="1:21" x14ac:dyDescent="0.25">
      <c r="A46" s="30">
        <v>328000000</v>
      </c>
      <c r="B46" s="34">
        <v>0.1</v>
      </c>
      <c r="C46" s="30">
        <f t="shared" ref="C46:C55" si="41">A46*(1-B46)</f>
        <v>295200000</v>
      </c>
      <c r="D46" s="34">
        <v>0.7</v>
      </c>
      <c r="E46" s="30">
        <f t="shared" ref="E46:E55" si="42">C46*(D46)</f>
        <v>206640000</v>
      </c>
      <c r="F46" s="34">
        <v>0.9</v>
      </c>
      <c r="G46" s="30">
        <f t="shared" ref="G46:G55" si="43">C46-E46</f>
        <v>88560000</v>
      </c>
      <c r="H46" s="30">
        <f>G46+E46*(1-F46)</f>
        <v>109224000</v>
      </c>
      <c r="I46" s="30">
        <f t="shared" ref="I46:I55" si="44">$H46*I$2</f>
        <v>2184480</v>
      </c>
      <c r="J46" s="30">
        <f t="shared" ref="J46:J55" si="45">$H46*J$2</f>
        <v>3276720</v>
      </c>
      <c r="K46" s="30">
        <f t="shared" ref="K46:K55" si="46">$H46*K$2</f>
        <v>3822840.0000000005</v>
      </c>
      <c r="L46" s="34">
        <v>0</v>
      </c>
      <c r="M46" s="30">
        <f t="shared" ref="M46:M55" si="47">K46*(1-L46)</f>
        <v>3822840.0000000005</v>
      </c>
      <c r="N46">
        <v>1</v>
      </c>
      <c r="O46" s="34">
        <f>1-Probability!K6</f>
        <v>6.1992105025769906E-3</v>
      </c>
      <c r="P46" s="30">
        <f t="shared" ref="P46:P55" si="48">M46*(1-O46)</f>
        <v>3799141.4101223289</v>
      </c>
      <c r="Q46" s="30">
        <f t="shared" ref="Q46:Q55" si="49">K46-P46</f>
        <v>23698.589877671562</v>
      </c>
      <c r="R46" s="34">
        <v>0.8</v>
      </c>
      <c r="S46" s="30">
        <f>A46*R46</f>
        <v>262400000</v>
      </c>
      <c r="T46" s="30">
        <f>P46*R46</f>
        <v>3039313.1280978634</v>
      </c>
      <c r="U46" s="30">
        <f>Q46*R46</f>
        <v>18958.871902137249</v>
      </c>
    </row>
    <row r="47" spans="1:21" x14ac:dyDescent="0.25">
      <c r="A47" s="30">
        <v>328000000</v>
      </c>
      <c r="B47" s="34">
        <v>0.1</v>
      </c>
      <c r="C47" s="30">
        <f t="shared" si="41"/>
        <v>295200000</v>
      </c>
      <c r="D47" s="34">
        <v>0.7</v>
      </c>
      <c r="E47" s="30">
        <f t="shared" si="42"/>
        <v>206640000</v>
      </c>
      <c r="F47" s="34">
        <v>0.9</v>
      </c>
      <c r="G47" s="30">
        <f t="shared" si="43"/>
        <v>88560000</v>
      </c>
      <c r="H47" s="30">
        <f t="shared" ref="H47:H55" si="50">G47+E47*(1-F47)</f>
        <v>109224000</v>
      </c>
      <c r="I47" s="30">
        <f t="shared" si="44"/>
        <v>2184480</v>
      </c>
      <c r="J47" s="30">
        <f t="shared" si="45"/>
        <v>3276720</v>
      </c>
      <c r="K47" s="30">
        <f t="shared" si="46"/>
        <v>3822840.0000000005</v>
      </c>
      <c r="L47" s="34">
        <v>0</v>
      </c>
      <c r="M47" s="30">
        <f t="shared" si="47"/>
        <v>3822840.0000000005</v>
      </c>
      <c r="N47">
        <v>4</v>
      </c>
      <c r="O47" s="34">
        <f>1-Probability!K7</f>
        <v>0.28059769291079684</v>
      </c>
      <c r="P47" s="30">
        <f t="shared" si="48"/>
        <v>2750159.9156328896</v>
      </c>
      <c r="Q47" s="30">
        <f t="shared" si="49"/>
        <v>1072680.0843671109</v>
      </c>
      <c r="R47" s="34">
        <v>0.15</v>
      </c>
      <c r="S47" s="30">
        <f t="shared" ref="S47:S55" si="51">A47*R47</f>
        <v>49200000</v>
      </c>
      <c r="T47" s="30">
        <f t="shared" ref="T47:T55" si="52">P47*R47</f>
        <v>412523.98734493344</v>
      </c>
      <c r="U47" s="30">
        <f t="shared" ref="U47:U55" si="53">Q47*R47</f>
        <v>160902.01265506662</v>
      </c>
    </row>
    <row r="48" spans="1:21" x14ac:dyDescent="0.25">
      <c r="A48" s="30">
        <v>328000000</v>
      </c>
      <c r="B48" s="34">
        <v>0.1</v>
      </c>
      <c r="C48" s="30">
        <f t="shared" si="41"/>
        <v>295200000</v>
      </c>
      <c r="D48" s="34">
        <v>0.7</v>
      </c>
      <c r="E48" s="30">
        <f t="shared" si="42"/>
        <v>206640000</v>
      </c>
      <c r="F48" s="34">
        <v>0.9</v>
      </c>
      <c r="G48" s="30">
        <f t="shared" si="43"/>
        <v>88560000</v>
      </c>
      <c r="H48" s="30">
        <f t="shared" si="50"/>
        <v>109224000</v>
      </c>
      <c r="I48" s="30">
        <f t="shared" si="44"/>
        <v>2184480</v>
      </c>
      <c r="J48" s="30">
        <f t="shared" si="45"/>
        <v>3276720</v>
      </c>
      <c r="K48" s="30">
        <f t="shared" si="46"/>
        <v>3822840.0000000005</v>
      </c>
      <c r="L48" s="34">
        <v>0</v>
      </c>
      <c r="M48" s="30">
        <f t="shared" si="47"/>
        <v>3822840.0000000005</v>
      </c>
      <c r="N48">
        <v>12</v>
      </c>
      <c r="O48" s="34">
        <f>1-Probability!K8</f>
        <v>0.65467842957732836</v>
      </c>
      <c r="P48" s="30">
        <f t="shared" si="48"/>
        <v>1320109.1122746062</v>
      </c>
      <c r="Q48" s="30">
        <f t="shared" si="49"/>
        <v>2502730.8877253942</v>
      </c>
      <c r="R48" s="34">
        <v>0.03</v>
      </c>
      <c r="S48" s="30">
        <f t="shared" si="51"/>
        <v>9840000</v>
      </c>
      <c r="T48" s="30">
        <f t="shared" si="52"/>
        <v>39603.273368238188</v>
      </c>
      <c r="U48" s="30">
        <f t="shared" si="53"/>
        <v>75081.926631761817</v>
      </c>
    </row>
    <row r="49" spans="1:21" x14ac:dyDescent="0.25">
      <c r="A49" s="30">
        <v>328000000</v>
      </c>
      <c r="B49" s="34">
        <v>0.1</v>
      </c>
      <c r="C49" s="30">
        <f t="shared" si="41"/>
        <v>295200000</v>
      </c>
      <c r="D49" s="34">
        <v>0.7</v>
      </c>
      <c r="E49" s="30">
        <f t="shared" si="42"/>
        <v>206640000</v>
      </c>
      <c r="F49" s="34">
        <v>0.9</v>
      </c>
      <c r="G49" s="30">
        <f t="shared" si="43"/>
        <v>88560000</v>
      </c>
      <c r="H49" s="30">
        <f t="shared" si="50"/>
        <v>109224000</v>
      </c>
      <c r="I49" s="30">
        <f t="shared" si="44"/>
        <v>2184480</v>
      </c>
      <c r="J49" s="30">
        <f t="shared" si="45"/>
        <v>3276720</v>
      </c>
      <c r="K49" s="30">
        <f t="shared" si="46"/>
        <v>3822840.0000000005</v>
      </c>
      <c r="L49" s="34">
        <v>0</v>
      </c>
      <c r="M49" s="30">
        <f t="shared" si="47"/>
        <v>3822840.0000000005</v>
      </c>
      <c r="N49">
        <v>20</v>
      </c>
      <c r="O49" s="34">
        <f>1-Probability!K9</f>
        <v>0.77556253085236704</v>
      </c>
      <c r="P49" s="30">
        <f t="shared" si="48"/>
        <v>857988.53455633728</v>
      </c>
      <c r="Q49" s="30">
        <f t="shared" si="49"/>
        <v>2964851.4654436633</v>
      </c>
      <c r="R49" s="34">
        <v>0.01</v>
      </c>
      <c r="S49" s="30">
        <f t="shared" si="51"/>
        <v>3280000</v>
      </c>
      <c r="T49" s="30">
        <f t="shared" si="52"/>
        <v>8579.8853455633725</v>
      </c>
      <c r="U49" s="30">
        <f t="shared" si="53"/>
        <v>29648.514654436633</v>
      </c>
    </row>
    <row r="50" spans="1:21" x14ac:dyDescent="0.25">
      <c r="A50" s="30">
        <v>328000000</v>
      </c>
      <c r="B50" s="34">
        <v>0.1</v>
      </c>
      <c r="C50" s="30">
        <f t="shared" si="41"/>
        <v>295200000</v>
      </c>
      <c r="D50" s="34">
        <v>0.7</v>
      </c>
      <c r="E50" s="30">
        <f t="shared" si="42"/>
        <v>206640000</v>
      </c>
      <c r="F50" s="34">
        <v>0.9</v>
      </c>
      <c r="G50" s="30">
        <f t="shared" si="43"/>
        <v>88560000</v>
      </c>
      <c r="H50" s="30">
        <f t="shared" si="50"/>
        <v>109224000</v>
      </c>
      <c r="I50" s="30">
        <f t="shared" si="44"/>
        <v>2184480</v>
      </c>
      <c r="J50" s="30">
        <f t="shared" si="45"/>
        <v>3276720</v>
      </c>
      <c r="K50" s="30">
        <f t="shared" si="46"/>
        <v>3822840.0000000005</v>
      </c>
      <c r="L50" s="34">
        <v>0</v>
      </c>
      <c r="M50" s="30">
        <f t="shared" si="47"/>
        <v>3822840.0000000005</v>
      </c>
      <c r="N50">
        <v>24</v>
      </c>
      <c r="O50" s="34">
        <f>1-Probability!K10</f>
        <v>0.8091220115516129</v>
      </c>
      <c r="P50" s="30">
        <f t="shared" si="48"/>
        <v>729696.00936003227</v>
      </c>
      <c r="Q50" s="30">
        <f t="shared" si="49"/>
        <v>3093143.9906399683</v>
      </c>
      <c r="R50" s="146">
        <v>7.0000000000000001E-3</v>
      </c>
      <c r="S50" s="30">
        <f t="shared" si="51"/>
        <v>2296000</v>
      </c>
      <c r="T50" s="30">
        <f t="shared" si="52"/>
        <v>5107.872065520226</v>
      </c>
      <c r="U50" s="30">
        <f t="shared" si="53"/>
        <v>21652.007934479778</v>
      </c>
    </row>
    <row r="51" spans="1:21" x14ac:dyDescent="0.25">
      <c r="A51" s="30">
        <v>328000000</v>
      </c>
      <c r="B51" s="34">
        <v>0.1</v>
      </c>
      <c r="C51" s="30">
        <f t="shared" si="41"/>
        <v>295200000</v>
      </c>
      <c r="D51" s="34">
        <v>0.7</v>
      </c>
      <c r="E51" s="30">
        <f t="shared" si="42"/>
        <v>206640000</v>
      </c>
      <c r="F51" s="34">
        <v>0.9</v>
      </c>
      <c r="G51" s="30">
        <f t="shared" si="43"/>
        <v>88560000</v>
      </c>
      <c r="H51" s="30">
        <f t="shared" si="50"/>
        <v>109224000</v>
      </c>
      <c r="I51" s="30">
        <f t="shared" si="44"/>
        <v>2184480</v>
      </c>
      <c r="J51" s="30">
        <f t="shared" si="45"/>
        <v>3276720</v>
      </c>
      <c r="K51" s="30">
        <f t="shared" si="46"/>
        <v>3822840.0000000005</v>
      </c>
      <c r="L51" s="34">
        <v>0.9</v>
      </c>
      <c r="M51" s="30">
        <f t="shared" si="47"/>
        <v>382283.99999999994</v>
      </c>
      <c r="N51">
        <v>1</v>
      </c>
      <c r="O51" s="34">
        <f>1-Probability!K6</f>
        <v>6.1992105025769906E-3</v>
      </c>
      <c r="P51" s="30">
        <f t="shared" si="48"/>
        <v>379914.14101223281</v>
      </c>
      <c r="Q51" s="30">
        <f t="shared" si="49"/>
        <v>3442925.8589877677</v>
      </c>
      <c r="R51" s="146">
        <v>1E-3</v>
      </c>
      <c r="S51" s="30">
        <f t="shared" si="51"/>
        <v>328000</v>
      </c>
      <c r="T51" s="30">
        <f t="shared" si="52"/>
        <v>379.91414101223279</v>
      </c>
      <c r="U51" s="30">
        <f t="shared" si="53"/>
        <v>3442.9258589877677</v>
      </c>
    </row>
    <row r="52" spans="1:21" x14ac:dyDescent="0.25">
      <c r="A52" s="30">
        <v>328000000</v>
      </c>
      <c r="B52" s="34">
        <v>0.1</v>
      </c>
      <c r="C52" s="30">
        <f t="shared" si="41"/>
        <v>295200000</v>
      </c>
      <c r="D52" s="34">
        <v>0.7</v>
      </c>
      <c r="E52" s="30">
        <f t="shared" si="42"/>
        <v>206640000</v>
      </c>
      <c r="F52" s="34">
        <v>0.9</v>
      </c>
      <c r="G52" s="30">
        <f t="shared" si="43"/>
        <v>88560000</v>
      </c>
      <c r="H52" s="30">
        <f t="shared" si="50"/>
        <v>109224000</v>
      </c>
      <c r="I52" s="30">
        <f t="shared" si="44"/>
        <v>2184480</v>
      </c>
      <c r="J52" s="30">
        <f t="shared" si="45"/>
        <v>3276720</v>
      </c>
      <c r="K52" s="30">
        <f t="shared" si="46"/>
        <v>3822840.0000000005</v>
      </c>
      <c r="L52" s="34">
        <v>0.9</v>
      </c>
      <c r="M52" s="30">
        <f t="shared" si="47"/>
        <v>382283.99999999994</v>
      </c>
      <c r="N52">
        <v>4</v>
      </c>
      <c r="O52" s="34">
        <f>1-Probability!K7</f>
        <v>0.28059769291079684</v>
      </c>
      <c r="P52" s="30">
        <f t="shared" si="48"/>
        <v>275015.9915632889</v>
      </c>
      <c r="Q52" s="30">
        <f t="shared" si="49"/>
        <v>3547824.0084367115</v>
      </c>
      <c r="R52" s="146">
        <v>1E-3</v>
      </c>
      <c r="S52" s="30">
        <f t="shared" si="51"/>
        <v>328000</v>
      </c>
      <c r="T52" s="30">
        <f t="shared" si="52"/>
        <v>275.01599156328894</v>
      </c>
      <c r="U52" s="30">
        <f t="shared" si="53"/>
        <v>3547.8240084367117</v>
      </c>
    </row>
    <row r="53" spans="1:21" x14ac:dyDescent="0.25">
      <c r="A53" s="30">
        <v>328000000</v>
      </c>
      <c r="B53" s="34">
        <v>0.1</v>
      </c>
      <c r="C53" s="30">
        <f t="shared" si="41"/>
        <v>295200000</v>
      </c>
      <c r="D53" s="34">
        <v>0.7</v>
      </c>
      <c r="E53" s="30">
        <f t="shared" si="42"/>
        <v>206640000</v>
      </c>
      <c r="F53" s="34">
        <v>0.9</v>
      </c>
      <c r="G53" s="30">
        <f t="shared" si="43"/>
        <v>88560000</v>
      </c>
      <c r="H53" s="30">
        <f t="shared" si="50"/>
        <v>109224000</v>
      </c>
      <c r="I53" s="30">
        <f t="shared" si="44"/>
        <v>2184480</v>
      </c>
      <c r="J53" s="30">
        <f t="shared" si="45"/>
        <v>3276720</v>
      </c>
      <c r="K53" s="30">
        <f t="shared" si="46"/>
        <v>3822840.0000000005</v>
      </c>
      <c r="L53" s="34">
        <v>0.9</v>
      </c>
      <c r="M53" s="30">
        <f t="shared" si="47"/>
        <v>382283.99999999994</v>
      </c>
      <c r="N53">
        <v>12</v>
      </c>
      <c r="O53" s="34">
        <f>1-Probability!K8</f>
        <v>0.65467842957732836</v>
      </c>
      <c r="P53" s="30">
        <f t="shared" si="48"/>
        <v>132010.91122746057</v>
      </c>
      <c r="Q53" s="30">
        <f t="shared" si="49"/>
        <v>3690829.08877254</v>
      </c>
      <c r="R53" s="146">
        <v>1E-3</v>
      </c>
      <c r="S53" s="30">
        <f t="shared" si="51"/>
        <v>328000</v>
      </c>
      <c r="T53" s="30">
        <f t="shared" si="52"/>
        <v>132.01091122746058</v>
      </c>
      <c r="U53" s="30">
        <f t="shared" si="53"/>
        <v>3690.8290887725402</v>
      </c>
    </row>
    <row r="54" spans="1:21" x14ac:dyDescent="0.25">
      <c r="A54" s="30">
        <v>328000000</v>
      </c>
      <c r="B54" s="34">
        <v>0.1</v>
      </c>
      <c r="C54" s="30">
        <f t="shared" si="41"/>
        <v>295200000</v>
      </c>
      <c r="D54" s="34">
        <v>0.7</v>
      </c>
      <c r="E54" s="30">
        <f t="shared" si="42"/>
        <v>206640000</v>
      </c>
      <c r="F54" s="34">
        <v>0.9</v>
      </c>
      <c r="G54" s="30">
        <f t="shared" si="43"/>
        <v>88560000</v>
      </c>
      <c r="H54" s="30">
        <f t="shared" si="50"/>
        <v>109224000</v>
      </c>
      <c r="I54" s="30">
        <f t="shared" si="44"/>
        <v>2184480</v>
      </c>
      <c r="J54" s="30">
        <f t="shared" si="45"/>
        <v>3276720</v>
      </c>
      <c r="K54" s="30">
        <f t="shared" si="46"/>
        <v>3822840.0000000005</v>
      </c>
      <c r="L54" s="34">
        <v>0.9</v>
      </c>
      <c r="M54" s="30">
        <f t="shared" si="47"/>
        <v>382283.99999999994</v>
      </c>
      <c r="N54">
        <v>20</v>
      </c>
      <c r="O54" s="34">
        <f>1-Probability!K9</f>
        <v>0.77556253085236704</v>
      </c>
      <c r="P54" s="30">
        <f t="shared" si="48"/>
        <v>85798.853455633711</v>
      </c>
      <c r="Q54" s="30">
        <f t="shared" si="49"/>
        <v>3737041.1465443666</v>
      </c>
      <c r="R54" s="146">
        <v>0</v>
      </c>
      <c r="S54" s="30">
        <f t="shared" si="51"/>
        <v>0</v>
      </c>
      <c r="T54" s="30">
        <f t="shared" si="52"/>
        <v>0</v>
      </c>
      <c r="U54" s="30">
        <f t="shared" si="53"/>
        <v>0</v>
      </c>
    </row>
    <row r="55" spans="1:21" x14ac:dyDescent="0.25">
      <c r="A55" s="30">
        <v>328000000</v>
      </c>
      <c r="B55" s="34">
        <v>0.1</v>
      </c>
      <c r="C55" s="30">
        <f t="shared" si="41"/>
        <v>295200000</v>
      </c>
      <c r="D55" s="34">
        <v>0.7</v>
      </c>
      <c r="E55" s="30">
        <f t="shared" si="42"/>
        <v>206640000</v>
      </c>
      <c r="F55" s="34">
        <v>0.9</v>
      </c>
      <c r="G55" s="30">
        <f t="shared" si="43"/>
        <v>88560000</v>
      </c>
      <c r="H55" s="30">
        <f t="shared" si="50"/>
        <v>109224000</v>
      </c>
      <c r="I55" s="30">
        <f t="shared" si="44"/>
        <v>2184480</v>
      </c>
      <c r="J55" s="30">
        <f t="shared" si="45"/>
        <v>3276720</v>
      </c>
      <c r="K55" s="30">
        <f t="shared" si="46"/>
        <v>3822840.0000000005</v>
      </c>
      <c r="L55" s="34">
        <v>0.9</v>
      </c>
      <c r="M55" s="30">
        <f t="shared" si="47"/>
        <v>382283.99999999994</v>
      </c>
      <c r="N55">
        <v>24</v>
      </c>
      <c r="O55" s="34">
        <f>1-Probability!K10</f>
        <v>0.8091220115516129</v>
      </c>
      <c r="P55" s="30">
        <f t="shared" si="48"/>
        <v>72969.600936003204</v>
      </c>
      <c r="Q55" s="30">
        <f t="shared" si="49"/>
        <v>3749870.3990639974</v>
      </c>
      <c r="R55" s="146">
        <v>0</v>
      </c>
      <c r="S55" s="30">
        <f t="shared" si="51"/>
        <v>0</v>
      </c>
      <c r="T55" s="30">
        <f t="shared" si="52"/>
        <v>0</v>
      </c>
      <c r="U55" s="30">
        <f t="shared" si="53"/>
        <v>0</v>
      </c>
    </row>
    <row r="56" spans="1:21" x14ac:dyDescent="0.25">
      <c r="Q56" t="s">
        <v>3859</v>
      </c>
      <c r="R56" s="34">
        <f>SUM(R46:R55)</f>
        <v>1</v>
      </c>
      <c r="S56" s="30">
        <f>SUM(S46:S55)</f>
        <v>328000000</v>
      </c>
      <c r="T56" s="30">
        <f>SUM(T46:T55)</f>
        <v>3505915.0872659218</v>
      </c>
      <c r="U56" s="30">
        <f>SUM(U46:U55)</f>
        <v>316924.91273407912</v>
      </c>
    </row>
    <row r="58" spans="1:21" x14ac:dyDescent="0.25">
      <c r="A58" t="s">
        <v>3867</v>
      </c>
    </row>
    <row r="59" spans="1:21" s="2" customFormat="1" ht="75" x14ac:dyDescent="0.25">
      <c r="A59" s="42" t="s">
        <v>13</v>
      </c>
      <c r="B59" s="42" t="s">
        <v>1619</v>
      </c>
      <c r="C59" s="42" t="s">
        <v>2107</v>
      </c>
      <c r="D59" s="42" t="s">
        <v>1618</v>
      </c>
      <c r="E59" s="42" t="s">
        <v>2108</v>
      </c>
      <c r="F59" s="42" t="s">
        <v>1617</v>
      </c>
      <c r="G59" s="42" t="s">
        <v>2110</v>
      </c>
      <c r="H59" s="42" t="s">
        <v>1615</v>
      </c>
      <c r="I59" s="42" t="s">
        <v>3861</v>
      </c>
      <c r="J59" s="42" t="s">
        <v>3862</v>
      </c>
      <c r="K59" s="42" t="s">
        <v>3863</v>
      </c>
      <c r="L59" s="42" t="s">
        <v>2102</v>
      </c>
      <c r="M59" s="42" t="s">
        <v>2103</v>
      </c>
      <c r="N59" s="79" t="s">
        <v>861</v>
      </c>
      <c r="O59" s="42" t="s">
        <v>3856</v>
      </c>
      <c r="P59" s="42" t="s">
        <v>3855</v>
      </c>
      <c r="Q59" s="79" t="s">
        <v>2467</v>
      </c>
      <c r="R59" s="79" t="s">
        <v>3857</v>
      </c>
      <c r="S59" s="79" t="s">
        <v>3858</v>
      </c>
      <c r="T59" s="79" t="s">
        <v>1266</v>
      </c>
      <c r="U59" s="79" t="s">
        <v>3860</v>
      </c>
    </row>
    <row r="60" spans="1:21" x14ac:dyDescent="0.25">
      <c r="A60" s="30">
        <v>328000000</v>
      </c>
      <c r="B60" s="34">
        <v>0.1</v>
      </c>
      <c r="C60" s="30">
        <f t="shared" ref="C60:C69" si="54">A60*(1-B60)</f>
        <v>295200000</v>
      </c>
      <c r="D60" s="34">
        <v>0</v>
      </c>
      <c r="E60" s="30">
        <f t="shared" ref="E60:E69" si="55">C60*(D60)</f>
        <v>0</v>
      </c>
      <c r="F60" s="34">
        <v>0.9</v>
      </c>
      <c r="G60" s="30">
        <f t="shared" ref="G60:G69" si="56">C60-E60</f>
        <v>295200000</v>
      </c>
      <c r="H60" s="30">
        <f>G60+E60*(1-F60)</f>
        <v>295200000</v>
      </c>
      <c r="I60" s="30">
        <f t="shared" ref="I60:K69" si="57">$H60*I$2</f>
        <v>5904000</v>
      </c>
      <c r="J60" s="30">
        <f t="shared" si="57"/>
        <v>8856000</v>
      </c>
      <c r="K60" s="30">
        <f t="shared" si="57"/>
        <v>10332000.000000002</v>
      </c>
      <c r="L60" s="34">
        <v>0</v>
      </c>
      <c r="M60" s="30">
        <f t="shared" ref="M60:M69" si="58">K60*(1-L60)</f>
        <v>10332000.000000002</v>
      </c>
      <c r="N60">
        <v>1</v>
      </c>
      <c r="O60" s="34">
        <f>1-Probability!K6</f>
        <v>6.1992105025769906E-3</v>
      </c>
      <c r="P60" s="30">
        <f t="shared" ref="P60:P69" si="59">M60*(1-O60)</f>
        <v>10267949.757087376</v>
      </c>
      <c r="Q60" s="30">
        <f t="shared" ref="Q60:Q69" si="60">K60-P60</f>
        <v>64050.242912625894</v>
      </c>
      <c r="R60" s="34">
        <v>0.8</v>
      </c>
      <c r="S60" s="30">
        <f>A60*R60</f>
        <v>262400000</v>
      </c>
      <c r="T60" s="30">
        <f>P60*R60</f>
        <v>8214359.805669901</v>
      </c>
      <c r="U60" s="30">
        <f>Q60*R60</f>
        <v>51240.19433010072</v>
      </c>
    </row>
    <row r="61" spans="1:21" x14ac:dyDescent="0.25">
      <c r="A61" s="30">
        <v>328000000</v>
      </c>
      <c r="B61" s="34">
        <v>0.1</v>
      </c>
      <c r="C61" s="30">
        <f t="shared" si="54"/>
        <v>295200000</v>
      </c>
      <c r="D61" s="34">
        <v>0</v>
      </c>
      <c r="E61" s="30">
        <f t="shared" si="55"/>
        <v>0</v>
      </c>
      <c r="F61" s="34">
        <v>0.9</v>
      </c>
      <c r="G61" s="30">
        <f t="shared" si="56"/>
        <v>295200000</v>
      </c>
      <c r="H61" s="30">
        <f t="shared" ref="H61:H69" si="61">G61+E61*(1-F61)</f>
        <v>295200000</v>
      </c>
      <c r="I61" s="30">
        <f t="shared" si="57"/>
        <v>5904000</v>
      </c>
      <c r="J61" s="30">
        <f t="shared" si="57"/>
        <v>8856000</v>
      </c>
      <c r="K61" s="30">
        <f t="shared" si="57"/>
        <v>10332000.000000002</v>
      </c>
      <c r="L61" s="34">
        <v>0</v>
      </c>
      <c r="M61" s="30">
        <f t="shared" si="58"/>
        <v>10332000.000000002</v>
      </c>
      <c r="N61">
        <v>4</v>
      </c>
      <c r="O61" s="34">
        <f>1-Probability!K7</f>
        <v>0.28059769291079684</v>
      </c>
      <c r="P61" s="30">
        <f t="shared" si="59"/>
        <v>7432864.6368456483</v>
      </c>
      <c r="Q61" s="30">
        <f t="shared" si="60"/>
        <v>2899135.3631543536</v>
      </c>
      <c r="R61" s="34">
        <v>0.15</v>
      </c>
      <c r="S61" s="30">
        <f t="shared" ref="S61:S69" si="62">A61*R61</f>
        <v>49200000</v>
      </c>
      <c r="T61" s="30">
        <f t="shared" ref="T61:T69" si="63">P61*R61</f>
        <v>1114929.6955268472</v>
      </c>
      <c r="U61" s="30">
        <f t="shared" ref="U61:U69" si="64">Q61*R61</f>
        <v>434870.30447315302</v>
      </c>
    </row>
    <row r="62" spans="1:21" x14ac:dyDescent="0.25">
      <c r="A62" s="30">
        <v>328000000</v>
      </c>
      <c r="B62" s="34">
        <v>0.1</v>
      </c>
      <c r="C62" s="30">
        <f t="shared" si="54"/>
        <v>295200000</v>
      </c>
      <c r="D62" s="34">
        <v>0</v>
      </c>
      <c r="E62" s="30">
        <f t="shared" si="55"/>
        <v>0</v>
      </c>
      <c r="F62" s="34">
        <v>0.9</v>
      </c>
      <c r="G62" s="30">
        <f t="shared" si="56"/>
        <v>295200000</v>
      </c>
      <c r="H62" s="30">
        <f t="shared" si="61"/>
        <v>295200000</v>
      </c>
      <c r="I62" s="30">
        <f t="shared" si="57"/>
        <v>5904000</v>
      </c>
      <c r="J62" s="30">
        <f t="shared" si="57"/>
        <v>8856000</v>
      </c>
      <c r="K62" s="30">
        <f t="shared" si="57"/>
        <v>10332000.000000002</v>
      </c>
      <c r="L62" s="34">
        <v>0</v>
      </c>
      <c r="M62" s="30">
        <f t="shared" si="58"/>
        <v>10332000.000000002</v>
      </c>
      <c r="N62">
        <v>12</v>
      </c>
      <c r="O62" s="34">
        <f>1-Probability!K8</f>
        <v>0.65467842957732836</v>
      </c>
      <c r="P62" s="30">
        <f t="shared" si="59"/>
        <v>3567862.4656070438</v>
      </c>
      <c r="Q62" s="30">
        <f t="shared" si="60"/>
        <v>6764137.5343929585</v>
      </c>
      <c r="R62" s="34">
        <v>0.03</v>
      </c>
      <c r="S62" s="30">
        <f t="shared" si="62"/>
        <v>9840000</v>
      </c>
      <c r="T62" s="30">
        <f t="shared" si="63"/>
        <v>107035.87396821131</v>
      </c>
      <c r="U62" s="30">
        <f t="shared" si="64"/>
        <v>202924.12603178874</v>
      </c>
    </row>
    <row r="63" spans="1:21" x14ac:dyDescent="0.25">
      <c r="A63" s="30">
        <v>328000000</v>
      </c>
      <c r="B63" s="34">
        <v>0.1</v>
      </c>
      <c r="C63" s="30">
        <f t="shared" si="54"/>
        <v>295200000</v>
      </c>
      <c r="D63" s="34">
        <v>0</v>
      </c>
      <c r="E63" s="30">
        <f t="shared" si="55"/>
        <v>0</v>
      </c>
      <c r="F63" s="34">
        <v>0.9</v>
      </c>
      <c r="G63" s="30">
        <f t="shared" si="56"/>
        <v>295200000</v>
      </c>
      <c r="H63" s="30">
        <f t="shared" si="61"/>
        <v>295200000</v>
      </c>
      <c r="I63" s="30">
        <f t="shared" si="57"/>
        <v>5904000</v>
      </c>
      <c r="J63" s="30">
        <f t="shared" si="57"/>
        <v>8856000</v>
      </c>
      <c r="K63" s="30">
        <f t="shared" si="57"/>
        <v>10332000.000000002</v>
      </c>
      <c r="L63" s="34">
        <v>0</v>
      </c>
      <c r="M63" s="30">
        <f t="shared" si="58"/>
        <v>10332000.000000002</v>
      </c>
      <c r="N63">
        <v>20</v>
      </c>
      <c r="O63" s="34">
        <f>1-Probability!K9</f>
        <v>0.77556253085236704</v>
      </c>
      <c r="P63" s="30">
        <f t="shared" si="59"/>
        <v>2318887.9312333441</v>
      </c>
      <c r="Q63" s="30">
        <f t="shared" si="60"/>
        <v>8013112.0687666573</v>
      </c>
      <c r="R63" s="34">
        <v>0.01</v>
      </c>
      <c r="S63" s="30">
        <f t="shared" si="62"/>
        <v>3280000</v>
      </c>
      <c r="T63" s="30">
        <f t="shared" si="63"/>
        <v>23188.879312333444</v>
      </c>
      <c r="U63" s="30">
        <f t="shared" si="64"/>
        <v>80131.120687666567</v>
      </c>
    </row>
    <row r="64" spans="1:21" x14ac:dyDescent="0.25">
      <c r="A64" s="30">
        <v>328000000</v>
      </c>
      <c r="B64" s="34">
        <v>0.1</v>
      </c>
      <c r="C64" s="30">
        <f t="shared" si="54"/>
        <v>295200000</v>
      </c>
      <c r="D64" s="34">
        <v>0</v>
      </c>
      <c r="E64" s="30">
        <f t="shared" si="55"/>
        <v>0</v>
      </c>
      <c r="F64" s="34">
        <v>0.9</v>
      </c>
      <c r="G64" s="30">
        <f t="shared" si="56"/>
        <v>295200000</v>
      </c>
      <c r="H64" s="30">
        <f t="shared" si="61"/>
        <v>295200000</v>
      </c>
      <c r="I64" s="30">
        <f t="shared" si="57"/>
        <v>5904000</v>
      </c>
      <c r="J64" s="30">
        <f t="shared" si="57"/>
        <v>8856000</v>
      </c>
      <c r="K64" s="30">
        <f t="shared" si="57"/>
        <v>10332000.000000002</v>
      </c>
      <c r="L64" s="34">
        <v>0</v>
      </c>
      <c r="M64" s="30">
        <f t="shared" si="58"/>
        <v>10332000.000000002</v>
      </c>
      <c r="N64">
        <v>24</v>
      </c>
      <c r="O64" s="34">
        <f>1-Probability!K10</f>
        <v>0.8091220115516129</v>
      </c>
      <c r="P64" s="30">
        <f t="shared" si="59"/>
        <v>1972151.376648736</v>
      </c>
      <c r="Q64" s="30">
        <f t="shared" si="60"/>
        <v>8359848.6233512657</v>
      </c>
      <c r="R64" s="146">
        <v>7.0000000000000001E-3</v>
      </c>
      <c r="S64" s="30">
        <f t="shared" si="62"/>
        <v>2296000</v>
      </c>
      <c r="T64" s="30">
        <f t="shared" si="63"/>
        <v>13805.059636541151</v>
      </c>
      <c r="U64" s="30">
        <f t="shared" si="64"/>
        <v>58518.94036345886</v>
      </c>
    </row>
    <row r="65" spans="1:21" x14ac:dyDescent="0.25">
      <c r="A65" s="30">
        <v>328000000</v>
      </c>
      <c r="B65" s="34">
        <v>0.1</v>
      </c>
      <c r="C65" s="30">
        <f t="shared" si="54"/>
        <v>295200000</v>
      </c>
      <c r="D65" s="34">
        <v>0</v>
      </c>
      <c r="E65" s="30">
        <f t="shared" si="55"/>
        <v>0</v>
      </c>
      <c r="F65" s="34">
        <v>0.9</v>
      </c>
      <c r="G65" s="30">
        <f t="shared" si="56"/>
        <v>295200000</v>
      </c>
      <c r="H65" s="30">
        <f t="shared" si="61"/>
        <v>295200000</v>
      </c>
      <c r="I65" s="30">
        <f t="shared" si="57"/>
        <v>5904000</v>
      </c>
      <c r="J65" s="30">
        <f t="shared" si="57"/>
        <v>8856000</v>
      </c>
      <c r="K65" s="30">
        <f t="shared" si="57"/>
        <v>10332000.000000002</v>
      </c>
      <c r="L65" s="34">
        <v>0.9</v>
      </c>
      <c r="M65" s="30">
        <f t="shared" si="58"/>
        <v>1033200</v>
      </c>
      <c r="N65">
        <v>1</v>
      </c>
      <c r="O65" s="34">
        <f>1-Probability!K6</f>
        <v>6.1992105025769906E-3</v>
      </c>
      <c r="P65" s="30">
        <f t="shared" si="59"/>
        <v>1026794.9757087375</v>
      </c>
      <c r="Q65" s="30">
        <f t="shared" si="60"/>
        <v>9305205.0242912639</v>
      </c>
      <c r="R65" s="146">
        <v>1E-3</v>
      </c>
      <c r="S65" s="30">
        <f t="shared" si="62"/>
        <v>328000</v>
      </c>
      <c r="T65" s="30">
        <f t="shared" si="63"/>
        <v>1026.7949757087376</v>
      </c>
      <c r="U65" s="30">
        <f t="shared" si="64"/>
        <v>9305.2050242912646</v>
      </c>
    </row>
    <row r="66" spans="1:21" x14ac:dyDescent="0.25">
      <c r="A66" s="30">
        <v>328000000</v>
      </c>
      <c r="B66" s="34">
        <v>0.1</v>
      </c>
      <c r="C66" s="30">
        <f t="shared" si="54"/>
        <v>295200000</v>
      </c>
      <c r="D66" s="34">
        <v>0</v>
      </c>
      <c r="E66" s="30">
        <f t="shared" si="55"/>
        <v>0</v>
      </c>
      <c r="F66" s="34">
        <v>0.9</v>
      </c>
      <c r="G66" s="30">
        <f t="shared" si="56"/>
        <v>295200000</v>
      </c>
      <c r="H66" s="30">
        <f t="shared" si="61"/>
        <v>295200000</v>
      </c>
      <c r="I66" s="30">
        <f t="shared" si="57"/>
        <v>5904000</v>
      </c>
      <c r="J66" s="30">
        <f t="shared" si="57"/>
        <v>8856000</v>
      </c>
      <c r="K66" s="30">
        <f t="shared" si="57"/>
        <v>10332000.000000002</v>
      </c>
      <c r="L66" s="34">
        <v>0.9</v>
      </c>
      <c r="M66" s="30">
        <f t="shared" si="58"/>
        <v>1033200</v>
      </c>
      <c r="N66">
        <v>4</v>
      </c>
      <c r="O66" s="34">
        <f>1-Probability!K7</f>
        <v>0.28059769291079684</v>
      </c>
      <c r="P66" s="30">
        <f t="shared" si="59"/>
        <v>743286.46368456469</v>
      </c>
      <c r="Q66" s="30">
        <f t="shared" si="60"/>
        <v>9588713.5363154374</v>
      </c>
      <c r="R66" s="146">
        <v>1E-3</v>
      </c>
      <c r="S66" s="30">
        <f t="shared" si="62"/>
        <v>328000</v>
      </c>
      <c r="T66" s="30">
        <f t="shared" si="63"/>
        <v>743.28646368456475</v>
      </c>
      <c r="U66" s="30">
        <f t="shared" si="64"/>
        <v>9588.7135363154375</v>
      </c>
    </row>
    <row r="67" spans="1:21" x14ac:dyDescent="0.25">
      <c r="A67" s="30">
        <v>328000000</v>
      </c>
      <c r="B67" s="34">
        <v>0.1</v>
      </c>
      <c r="C67" s="30">
        <f t="shared" si="54"/>
        <v>295200000</v>
      </c>
      <c r="D67" s="34">
        <v>0</v>
      </c>
      <c r="E67" s="30">
        <f t="shared" si="55"/>
        <v>0</v>
      </c>
      <c r="F67" s="34">
        <v>0.9</v>
      </c>
      <c r="G67" s="30">
        <f t="shared" si="56"/>
        <v>295200000</v>
      </c>
      <c r="H67" s="30">
        <f t="shared" si="61"/>
        <v>295200000</v>
      </c>
      <c r="I67" s="30">
        <f t="shared" si="57"/>
        <v>5904000</v>
      </c>
      <c r="J67" s="30">
        <f t="shared" si="57"/>
        <v>8856000</v>
      </c>
      <c r="K67" s="30">
        <f t="shared" si="57"/>
        <v>10332000.000000002</v>
      </c>
      <c r="L67" s="34">
        <v>0.9</v>
      </c>
      <c r="M67" s="30">
        <f t="shared" si="58"/>
        <v>1033200</v>
      </c>
      <c r="N67">
        <v>12</v>
      </c>
      <c r="O67" s="34">
        <f>1-Probability!K8</f>
        <v>0.65467842957732836</v>
      </c>
      <c r="P67" s="30">
        <f t="shared" si="59"/>
        <v>356786.24656070431</v>
      </c>
      <c r="Q67" s="30">
        <f t="shared" si="60"/>
        <v>9975213.7534392979</v>
      </c>
      <c r="R67" s="146">
        <v>1E-3</v>
      </c>
      <c r="S67" s="30">
        <f t="shared" si="62"/>
        <v>328000</v>
      </c>
      <c r="T67" s="30">
        <f t="shared" si="63"/>
        <v>356.78624656070434</v>
      </c>
      <c r="U67" s="30">
        <f t="shared" si="64"/>
        <v>9975.2137534392987</v>
      </c>
    </row>
    <row r="68" spans="1:21" x14ac:dyDescent="0.25">
      <c r="A68" s="30">
        <v>328000000</v>
      </c>
      <c r="B68" s="34">
        <v>0.1</v>
      </c>
      <c r="C68" s="30">
        <f t="shared" si="54"/>
        <v>295200000</v>
      </c>
      <c r="D68" s="34">
        <v>0</v>
      </c>
      <c r="E68" s="30">
        <f t="shared" si="55"/>
        <v>0</v>
      </c>
      <c r="F68" s="34">
        <v>0.9</v>
      </c>
      <c r="G68" s="30">
        <f t="shared" si="56"/>
        <v>295200000</v>
      </c>
      <c r="H68" s="30">
        <f t="shared" si="61"/>
        <v>295200000</v>
      </c>
      <c r="I68" s="30">
        <f t="shared" si="57"/>
        <v>5904000</v>
      </c>
      <c r="J68" s="30">
        <f t="shared" si="57"/>
        <v>8856000</v>
      </c>
      <c r="K68" s="30">
        <f t="shared" si="57"/>
        <v>10332000.000000002</v>
      </c>
      <c r="L68" s="34">
        <v>0.9</v>
      </c>
      <c r="M68" s="30">
        <f t="shared" si="58"/>
        <v>1033200</v>
      </c>
      <c r="N68">
        <v>20</v>
      </c>
      <c r="O68" s="34">
        <f>1-Probability!K9</f>
        <v>0.77556253085236704</v>
      </c>
      <c r="P68" s="30">
        <f t="shared" si="59"/>
        <v>231888.79312333438</v>
      </c>
      <c r="Q68" s="30">
        <f t="shared" si="60"/>
        <v>10100111.206876667</v>
      </c>
      <c r="R68" s="146">
        <v>0</v>
      </c>
      <c r="S68" s="30">
        <f t="shared" si="62"/>
        <v>0</v>
      </c>
      <c r="T68" s="30">
        <f t="shared" si="63"/>
        <v>0</v>
      </c>
      <c r="U68" s="30">
        <f t="shared" si="64"/>
        <v>0</v>
      </c>
    </row>
    <row r="69" spans="1:21" x14ac:dyDescent="0.25">
      <c r="A69" s="30">
        <v>328000000</v>
      </c>
      <c r="B69" s="34">
        <v>0.1</v>
      </c>
      <c r="C69" s="30">
        <f t="shared" si="54"/>
        <v>295200000</v>
      </c>
      <c r="D69" s="34">
        <v>0</v>
      </c>
      <c r="E69" s="30">
        <f t="shared" si="55"/>
        <v>0</v>
      </c>
      <c r="F69" s="34">
        <v>0.9</v>
      </c>
      <c r="G69" s="30">
        <f t="shared" si="56"/>
        <v>295200000</v>
      </c>
      <c r="H69" s="30">
        <f t="shared" si="61"/>
        <v>295200000</v>
      </c>
      <c r="I69" s="30">
        <f t="shared" si="57"/>
        <v>5904000</v>
      </c>
      <c r="J69" s="30">
        <f t="shared" si="57"/>
        <v>8856000</v>
      </c>
      <c r="K69" s="30">
        <f t="shared" si="57"/>
        <v>10332000.000000002</v>
      </c>
      <c r="L69" s="34">
        <v>0.9</v>
      </c>
      <c r="M69" s="30">
        <f t="shared" si="58"/>
        <v>1033200</v>
      </c>
      <c r="N69">
        <v>24</v>
      </c>
      <c r="O69" s="34">
        <f>1-Probability!K10</f>
        <v>0.8091220115516129</v>
      </c>
      <c r="P69" s="30">
        <f t="shared" si="59"/>
        <v>197215.13766487356</v>
      </c>
      <c r="Q69" s="30">
        <f t="shared" si="60"/>
        <v>10134784.862335129</v>
      </c>
      <c r="R69" s="146">
        <v>0</v>
      </c>
      <c r="S69" s="30">
        <f t="shared" si="62"/>
        <v>0</v>
      </c>
      <c r="T69" s="30">
        <f t="shared" si="63"/>
        <v>0</v>
      </c>
      <c r="U69" s="30">
        <f t="shared" si="64"/>
        <v>0</v>
      </c>
    </row>
    <row r="70" spans="1:21" x14ac:dyDescent="0.25">
      <c r="Q70" t="s">
        <v>3859</v>
      </c>
      <c r="R70" s="34">
        <f>SUM(R60:R69)</f>
        <v>1</v>
      </c>
      <c r="S70" s="30">
        <f>SUM(S60:S69)</f>
        <v>328000000</v>
      </c>
      <c r="T70" s="30">
        <f>SUM(T60:T69)</f>
        <v>9475446.181799788</v>
      </c>
      <c r="U70" s="30">
        <f>SUM(U60:U69)</f>
        <v>856553.81820021395</v>
      </c>
    </row>
  </sheetData>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05D05-3FC1-4662-94BF-909130ED83B4}">
  <dimension ref="A2:Y106"/>
  <sheetViews>
    <sheetView topLeftCell="A8" zoomScaleNormal="100" workbookViewId="0">
      <pane ySplit="1800" topLeftCell="A39" activePane="bottomLeft"/>
      <selection activeCell="F8" sqref="F8"/>
      <selection pane="bottomLeft" activeCell="G48" sqref="G48"/>
    </sheetView>
  </sheetViews>
  <sheetFormatPr defaultRowHeight="15" x14ac:dyDescent="0.25"/>
  <cols>
    <col min="1" max="1" width="13.5703125" bestFit="1" customWidth="1"/>
    <col min="2" max="2" width="14.42578125" bestFit="1" customWidth="1"/>
    <col min="3" max="3" width="10.7109375" bestFit="1" customWidth="1"/>
    <col min="4" max="7" width="11.140625" customWidth="1"/>
    <col min="8" max="8" width="10.140625" customWidth="1"/>
    <col min="9" max="9" width="9.140625" customWidth="1"/>
    <col min="10" max="10" width="10.42578125" customWidth="1"/>
    <col min="11" max="11" width="8.42578125" customWidth="1"/>
    <col min="12" max="12" width="7.85546875" customWidth="1"/>
    <col min="13" max="13" width="11.28515625" customWidth="1"/>
    <col min="14" max="14" width="10" customWidth="1"/>
    <col min="15" max="15" width="15.85546875" customWidth="1"/>
    <col min="16" max="16" width="11.7109375" bestFit="1" customWidth="1"/>
    <col min="17" max="17" width="11.140625" bestFit="1" customWidth="1"/>
    <col min="18" max="21" width="11.140625" customWidth="1"/>
    <col min="22" max="22" width="32.28515625" bestFit="1" customWidth="1"/>
    <col min="23" max="23" width="12.85546875" bestFit="1" customWidth="1"/>
    <col min="24" max="25" width="9.140625" customWidth="1"/>
  </cols>
  <sheetData>
    <row r="2" spans="1:22" x14ac:dyDescent="0.25">
      <c r="A2" t="s">
        <v>1260</v>
      </c>
      <c r="B2" t="s">
        <v>1261</v>
      </c>
      <c r="C2" t="s">
        <v>1262</v>
      </c>
      <c r="D2" t="s">
        <v>1263</v>
      </c>
      <c r="E2" t="s">
        <v>10</v>
      </c>
    </row>
    <row r="3" spans="1:22" x14ac:dyDescent="0.25">
      <c r="A3" s="30">
        <v>328000000</v>
      </c>
      <c r="B3">
        <v>0.5</v>
      </c>
      <c r="C3">
        <v>3.5000000000000003E-2</v>
      </c>
      <c r="D3" s="30">
        <f>A3*B3</f>
        <v>164000000</v>
      </c>
      <c r="E3" s="30">
        <f>A3*B3*C3</f>
        <v>5740000.0000000009</v>
      </c>
    </row>
    <row r="4" spans="1:22" x14ac:dyDescent="0.25">
      <c r="A4" s="30">
        <v>328000000</v>
      </c>
      <c r="B4">
        <v>0.6</v>
      </c>
      <c r="C4">
        <v>3.5000000000000003E-2</v>
      </c>
      <c r="D4" s="30">
        <f t="shared" ref="D4:D5" si="0">A4*B4</f>
        <v>196800000</v>
      </c>
      <c r="E4" s="30">
        <f>A4*B4*C4</f>
        <v>6888000.0000000009</v>
      </c>
    </row>
    <row r="5" spans="1:22" x14ac:dyDescent="0.25">
      <c r="A5" s="30">
        <v>328000000</v>
      </c>
      <c r="B5">
        <v>0.75</v>
      </c>
      <c r="C5">
        <v>3.5000000000000003E-2</v>
      </c>
      <c r="D5" s="30">
        <f t="shared" si="0"/>
        <v>246000000</v>
      </c>
      <c r="E5" s="30">
        <f>A5*B5*C5</f>
        <v>8610000</v>
      </c>
    </row>
    <row r="7" spans="1:22" x14ac:dyDescent="0.25">
      <c r="I7" s="33"/>
      <c r="J7" s="40" t="s">
        <v>1281</v>
      </c>
    </row>
    <row r="8" spans="1:22" s="2" customFormat="1" ht="75" x14ac:dyDescent="0.25">
      <c r="A8" s="2" t="s">
        <v>1264</v>
      </c>
      <c r="B8" s="2" t="s">
        <v>1265</v>
      </c>
      <c r="C8" s="2" t="s">
        <v>3665</v>
      </c>
      <c r="D8" s="2" t="s">
        <v>3666</v>
      </c>
      <c r="E8" s="2" t="s">
        <v>3663</v>
      </c>
      <c r="F8" s="2" t="s">
        <v>1267</v>
      </c>
      <c r="G8" s="2" t="s">
        <v>1279</v>
      </c>
      <c r="H8" s="2" t="s">
        <v>1284</v>
      </c>
      <c r="I8" s="2" t="s">
        <v>1499</v>
      </c>
      <c r="J8" s="2" t="s">
        <v>1280</v>
      </c>
      <c r="K8" s="56">
        <v>0.5</v>
      </c>
      <c r="L8" s="56">
        <v>0.6</v>
      </c>
      <c r="M8" s="56">
        <v>0.75</v>
      </c>
      <c r="N8" s="56">
        <v>0.95</v>
      </c>
      <c r="O8" s="56" t="s">
        <v>1642</v>
      </c>
      <c r="P8" s="56" t="s">
        <v>2382</v>
      </c>
      <c r="Q8" s="56" t="s">
        <v>2467</v>
      </c>
      <c r="R8" s="56" t="s">
        <v>2469</v>
      </c>
      <c r="S8" s="56" t="s">
        <v>2468</v>
      </c>
      <c r="T8" s="56" t="s">
        <v>4449</v>
      </c>
      <c r="U8" s="56"/>
      <c r="V8" s="2" t="s">
        <v>1268</v>
      </c>
    </row>
    <row r="9" spans="1:22" x14ac:dyDescent="0.25">
      <c r="A9" s="218">
        <v>43901</v>
      </c>
      <c r="B9" s="28">
        <v>1000</v>
      </c>
      <c r="D9" s="28">
        <v>29</v>
      </c>
      <c r="E9" s="28"/>
      <c r="F9" s="58">
        <f t="shared" ref="F9:F16" si="1">D9*100/B9</f>
        <v>2.9</v>
      </c>
      <c r="G9" s="33"/>
      <c r="H9" s="33"/>
      <c r="I9" s="33">
        <v>29</v>
      </c>
      <c r="J9" s="33"/>
      <c r="V9" t="s">
        <v>1277</v>
      </c>
    </row>
    <row r="10" spans="1:22" x14ac:dyDescent="0.25">
      <c r="A10" s="218">
        <v>43922</v>
      </c>
      <c r="B10" s="29">
        <v>184770</v>
      </c>
      <c r="C10" s="30">
        <f>(B10-B9)/((A10-A9))</f>
        <v>8750.9523809523816</v>
      </c>
      <c r="D10" s="29">
        <v>3746</v>
      </c>
      <c r="E10" s="29"/>
      <c r="F10" s="58">
        <f t="shared" si="1"/>
        <v>2.0273853980624561</v>
      </c>
      <c r="G10" s="54">
        <f t="shared" ref="G10:G17" si="2">(D10-D9)/(A10-A9)</f>
        <v>177</v>
      </c>
      <c r="H10" s="54">
        <f>G10*7</f>
        <v>1239</v>
      </c>
      <c r="I10" s="54">
        <f>D10-D9</f>
        <v>3717</v>
      </c>
      <c r="J10" s="55">
        <f>(EDATE(A10,24)-A10)*G10</f>
        <v>129210</v>
      </c>
      <c r="K10" s="54">
        <f t="shared" ref="K10:K20" si="3">$D$91/($G10*365)</f>
        <v>88.847612413899867</v>
      </c>
      <c r="L10" s="54">
        <f t="shared" ref="L10:L20" si="4">$D$92/($G10*365)</f>
        <v>106.61713489667984</v>
      </c>
      <c r="M10" s="54">
        <f t="shared" ref="M10:M20" si="5">$D$93/($G10*365)</f>
        <v>133.27141862084977</v>
      </c>
      <c r="N10" s="54"/>
      <c r="O10" s="158">
        <f>B10/328000000</f>
        <v>5.6332317073170732E-4</v>
      </c>
      <c r="P10" s="158"/>
      <c r="Q10" s="158"/>
      <c r="R10" s="158"/>
      <c r="S10" s="158"/>
      <c r="T10" s="158"/>
      <c r="U10" s="158"/>
      <c r="V10" t="s">
        <v>1278</v>
      </c>
    </row>
    <row r="11" spans="1:22" x14ac:dyDescent="0.25">
      <c r="A11" s="218">
        <v>43952</v>
      </c>
      <c r="B11" s="29">
        <v>1062446</v>
      </c>
      <c r="C11" s="30">
        <f t="shared" ref="C11:C12" si="6">(B11-B10)/((A11-A10))</f>
        <v>29255.866666666665</v>
      </c>
      <c r="D11" s="29">
        <v>62406</v>
      </c>
      <c r="E11" s="29"/>
      <c r="F11" s="58">
        <f t="shared" si="1"/>
        <v>5.8738044098241229</v>
      </c>
      <c r="G11" s="54">
        <f t="shared" si="2"/>
        <v>1955.3333333333333</v>
      </c>
      <c r="H11" s="54">
        <f t="shared" ref="H11:H14" si="7">G11*7</f>
        <v>13687.333333333332</v>
      </c>
      <c r="I11" s="54">
        <f>D11-D10</f>
        <v>58660</v>
      </c>
      <c r="J11" s="55">
        <f>(EDATE(A11,24)-A11)*G11</f>
        <v>1427393.3333333333</v>
      </c>
      <c r="K11" s="54">
        <f t="shared" si="3"/>
        <v>8.0426324909275202</v>
      </c>
      <c r="L11" s="54">
        <f t="shared" si="4"/>
        <v>9.6511589891130232</v>
      </c>
      <c r="M11" s="54">
        <f t="shared" si="5"/>
        <v>12.063948736391279</v>
      </c>
      <c r="N11" s="54"/>
      <c r="O11" s="158">
        <f t="shared" ref="O11:O63" si="8">B11/328000000</f>
        <v>3.2391646341463414E-3</v>
      </c>
      <c r="P11" s="158"/>
      <c r="Q11" s="158"/>
      <c r="R11" s="158"/>
      <c r="S11" s="158"/>
      <c r="T11" s="158"/>
      <c r="U11" s="158"/>
      <c r="V11" t="s">
        <v>1533</v>
      </c>
    </row>
    <row r="12" spans="1:22" x14ac:dyDescent="0.25">
      <c r="A12" s="218">
        <v>43983</v>
      </c>
      <c r="B12" s="29">
        <v>1761503</v>
      </c>
      <c r="C12" s="30">
        <f t="shared" si="6"/>
        <v>22550.225806451614</v>
      </c>
      <c r="D12" s="29">
        <v>103700</v>
      </c>
      <c r="E12" s="29"/>
      <c r="F12" s="58">
        <f t="shared" si="1"/>
        <v>5.8870180749053507</v>
      </c>
      <c r="G12" s="54">
        <f t="shared" si="2"/>
        <v>1332.0645161290322</v>
      </c>
      <c r="H12" s="54">
        <f t="shared" si="7"/>
        <v>9324.4516129032254</v>
      </c>
      <c r="I12" s="54">
        <f>D12-D11</f>
        <v>41294</v>
      </c>
      <c r="J12" s="55">
        <f>(EDATE(A12,24)-A12)*G12</f>
        <v>972407.09677419346</v>
      </c>
      <c r="K12" s="54">
        <f t="shared" si="3"/>
        <v>11.805755056789573</v>
      </c>
      <c r="L12" s="54">
        <f t="shared" si="4"/>
        <v>14.166906068147487</v>
      </c>
      <c r="M12" s="54">
        <f t="shared" si="5"/>
        <v>17.708632585184358</v>
      </c>
      <c r="N12" s="54"/>
      <c r="O12" s="158">
        <f t="shared" si="8"/>
        <v>5.370435975609756E-3</v>
      </c>
      <c r="P12" s="158"/>
      <c r="Q12" s="158"/>
      <c r="R12" s="158"/>
      <c r="S12" s="158"/>
      <c r="T12" s="158"/>
      <c r="U12" s="158"/>
      <c r="V12" t="s">
        <v>1532</v>
      </c>
    </row>
    <row r="13" spans="1:22" x14ac:dyDescent="0.25">
      <c r="A13" s="218">
        <v>43992</v>
      </c>
      <c r="B13" s="29">
        <v>1956421</v>
      </c>
      <c r="C13" s="30">
        <f t="shared" ref="C13:C18" si="9">(B13-B12)/(A13-A12)</f>
        <v>21657.555555555555</v>
      </c>
      <c r="D13" s="29">
        <v>110925</v>
      </c>
      <c r="E13" s="29"/>
      <c r="F13" s="58">
        <f t="shared" si="1"/>
        <v>5.6697919312867731</v>
      </c>
      <c r="G13" s="54">
        <f t="shared" si="2"/>
        <v>802.77777777777783</v>
      </c>
      <c r="H13" s="54">
        <f t="shared" si="7"/>
        <v>5619.4444444444453</v>
      </c>
      <c r="I13" s="54"/>
      <c r="J13" s="55">
        <f>(EDATE(A13,24)-A13)*G13</f>
        <v>586027.77777777787</v>
      </c>
      <c r="K13" s="54">
        <f t="shared" si="3"/>
        <v>19.589515096933212</v>
      </c>
      <c r="L13" s="54">
        <f t="shared" si="4"/>
        <v>23.507418116319855</v>
      </c>
      <c r="M13" s="54">
        <f t="shared" si="5"/>
        <v>29.384272645399815</v>
      </c>
      <c r="N13" s="54"/>
      <c r="O13" s="158">
        <f t="shared" si="8"/>
        <v>5.9646981707317075E-3</v>
      </c>
      <c r="P13" s="158"/>
      <c r="Q13" s="158"/>
      <c r="R13" s="158"/>
      <c r="S13" s="158"/>
      <c r="T13" s="158"/>
      <c r="U13" s="158"/>
      <c r="V13" t="s">
        <v>1542</v>
      </c>
    </row>
    <row r="14" spans="1:22" x14ac:dyDescent="0.25">
      <c r="A14" s="218">
        <v>44013</v>
      </c>
      <c r="B14" s="29">
        <v>2581229</v>
      </c>
      <c r="C14" s="30">
        <f t="shared" si="9"/>
        <v>29752.761904761905</v>
      </c>
      <c r="D14" s="29">
        <v>126739</v>
      </c>
      <c r="E14" s="29"/>
      <c r="F14" s="58">
        <f t="shared" si="1"/>
        <v>4.9100254181244667</v>
      </c>
      <c r="G14" s="54">
        <f t="shared" si="2"/>
        <v>753.04761904761904</v>
      </c>
      <c r="H14" s="54">
        <f t="shared" si="7"/>
        <v>5271.333333333333</v>
      </c>
      <c r="I14" s="54">
        <f>D14-D12</f>
        <v>23039</v>
      </c>
      <c r="J14" s="55">
        <f t="shared" ref="J14:J16" si="10">(EDATE(A14,24)-A14)*G14</f>
        <v>549724.76190476189</v>
      </c>
      <c r="K14" s="54">
        <f t="shared" si="3"/>
        <v>20.883177902015039</v>
      </c>
      <c r="L14" s="54">
        <f t="shared" si="4"/>
        <v>25.059813482418043</v>
      </c>
      <c r="M14" s="54">
        <f t="shared" si="5"/>
        <v>31.324766853022552</v>
      </c>
      <c r="N14" s="54"/>
      <c r="O14" s="158">
        <f t="shared" si="8"/>
        <v>7.8696006097560972E-3</v>
      </c>
      <c r="P14" s="158"/>
      <c r="Q14" s="158"/>
      <c r="R14" s="158"/>
      <c r="S14" s="158"/>
      <c r="T14" s="158"/>
      <c r="U14" s="158"/>
      <c r="V14" t="s">
        <v>776</v>
      </c>
    </row>
    <row r="15" spans="1:22" x14ac:dyDescent="0.25">
      <c r="A15" s="218">
        <v>44044</v>
      </c>
      <c r="B15" s="29">
        <v>4473974</v>
      </c>
      <c r="C15" s="30">
        <f t="shared" si="9"/>
        <v>61056.290322580644</v>
      </c>
      <c r="D15" s="29">
        <v>151499</v>
      </c>
      <c r="E15" s="29"/>
      <c r="F15" s="58">
        <f t="shared" si="1"/>
        <v>3.3862288873381918</v>
      </c>
      <c r="G15" s="54">
        <f t="shared" si="2"/>
        <v>798.70967741935488</v>
      </c>
      <c r="H15" s="54">
        <f t="shared" ref="H15" si="11">G15*7</f>
        <v>5590.9677419354839</v>
      </c>
      <c r="I15" s="54">
        <f>D15-D14</f>
        <v>24760</v>
      </c>
      <c r="J15" s="55">
        <f t="shared" si="10"/>
        <v>583058.06451612909</v>
      </c>
      <c r="K15" s="54">
        <f t="shared" si="3"/>
        <v>19.689291167813753</v>
      </c>
      <c r="L15" s="54">
        <f t="shared" si="4"/>
        <v>23.627149401376503</v>
      </c>
      <c r="M15" s="54">
        <f t="shared" si="5"/>
        <v>29.533936751720624</v>
      </c>
      <c r="N15" s="54"/>
      <c r="O15" s="158">
        <f t="shared" si="8"/>
        <v>1.3640164634146341E-2</v>
      </c>
      <c r="P15" s="158"/>
      <c r="Q15" s="158"/>
      <c r="R15" s="158"/>
      <c r="S15" s="158"/>
      <c r="T15" s="158"/>
      <c r="U15" s="158"/>
      <c r="V15" t="s">
        <v>1540</v>
      </c>
    </row>
    <row r="16" spans="1:22" x14ac:dyDescent="0.25">
      <c r="A16" s="218">
        <v>44075</v>
      </c>
      <c r="B16" s="29">
        <v>6004443</v>
      </c>
      <c r="C16" s="30">
        <f t="shared" si="9"/>
        <v>49369.967741935485</v>
      </c>
      <c r="D16" s="29">
        <v>183050</v>
      </c>
      <c r="E16" s="29"/>
      <c r="F16" s="58">
        <f t="shared" si="1"/>
        <v>3.0485758629068509</v>
      </c>
      <c r="G16" s="54">
        <f t="shared" si="2"/>
        <v>1017.7741935483871</v>
      </c>
      <c r="H16" s="54">
        <f t="shared" ref="H16" si="12">G16*7</f>
        <v>7124.4193548387093</v>
      </c>
      <c r="I16" s="54">
        <f>D16-D15</f>
        <v>31551</v>
      </c>
      <c r="J16" s="55">
        <f t="shared" si="10"/>
        <v>742975.16129032255</v>
      </c>
      <c r="K16" s="54">
        <f t="shared" si="3"/>
        <v>15.451391376345237</v>
      </c>
      <c r="L16" s="54">
        <f t="shared" si="4"/>
        <v>18.541669651614285</v>
      </c>
      <c r="M16" s="54">
        <f t="shared" si="5"/>
        <v>23.177087064517853</v>
      </c>
      <c r="N16" s="54"/>
      <c r="O16" s="158">
        <f t="shared" si="8"/>
        <v>1.8306228658536584E-2</v>
      </c>
      <c r="P16" s="158"/>
      <c r="Q16" s="158"/>
      <c r="R16" s="158"/>
      <c r="S16" s="158"/>
      <c r="T16" s="158"/>
      <c r="U16" s="158"/>
      <c r="V16" t="s">
        <v>1540</v>
      </c>
    </row>
    <row r="17" spans="1:22" x14ac:dyDescent="0.25">
      <c r="A17" s="218">
        <v>44105</v>
      </c>
      <c r="B17" s="29">
        <v>7213419</v>
      </c>
      <c r="C17" s="30">
        <f t="shared" si="9"/>
        <v>40299.199999999997</v>
      </c>
      <c r="D17" s="29">
        <v>206402</v>
      </c>
      <c r="E17" s="29"/>
      <c r="F17" s="58">
        <f t="shared" ref="F17:F59" si="13">D17*100/B17</f>
        <v>2.8613615817963716</v>
      </c>
      <c r="G17" s="54">
        <f t="shared" si="2"/>
        <v>778.4</v>
      </c>
      <c r="H17" s="54">
        <f t="shared" ref="H17" si="14">G17*7</f>
        <v>5448.8</v>
      </c>
      <c r="I17" s="54">
        <f>D17-D16</f>
        <v>23352</v>
      </c>
      <c r="J17" s="55">
        <f t="shared" ref="J17:J76" si="15">(EDATE(A17,24)-A17)*G17</f>
        <v>568232</v>
      </c>
      <c r="K17" s="54">
        <f t="shared" si="3"/>
        <v>20.203015669656061</v>
      </c>
      <c r="L17" s="54">
        <f t="shared" si="4"/>
        <v>24.243618803587271</v>
      </c>
      <c r="M17" s="54">
        <f t="shared" si="5"/>
        <v>30.304523504484084</v>
      </c>
      <c r="N17" s="54"/>
      <c r="O17" s="158">
        <f t="shared" si="8"/>
        <v>2.1992131097560975E-2</v>
      </c>
      <c r="P17" s="158"/>
      <c r="Q17" s="158"/>
      <c r="R17" s="158"/>
      <c r="S17" s="158"/>
      <c r="T17" s="158"/>
      <c r="U17" s="158"/>
      <c r="V17" t="s">
        <v>1540</v>
      </c>
    </row>
    <row r="18" spans="1:22" x14ac:dyDescent="0.25">
      <c r="A18" s="218">
        <v>44136</v>
      </c>
      <c r="B18" s="29">
        <v>9105230</v>
      </c>
      <c r="C18" s="30">
        <f t="shared" si="9"/>
        <v>61026.161290322583</v>
      </c>
      <c r="D18" s="169">
        <v>229932</v>
      </c>
      <c r="E18" s="169"/>
      <c r="F18" s="58">
        <f t="shared" ref="F18:F19" si="16">D18*100/B18</f>
        <v>2.5252739359686687</v>
      </c>
      <c r="G18" s="54">
        <f t="shared" ref="G18" si="17">(D18-D17)/(A18-A17)</f>
        <v>759.0322580645161</v>
      </c>
      <c r="H18" s="54">
        <f t="shared" ref="H18:H19" si="18">G18*7</f>
        <v>5313.2258064516127</v>
      </c>
      <c r="I18" s="54">
        <f>D18-D17</f>
        <v>23530</v>
      </c>
      <c r="J18" s="55">
        <f t="shared" ref="J18:J19" si="19">(EDATE(A18,24)-A18)*G18</f>
        <v>554093.54838709673</v>
      </c>
      <c r="K18" s="54">
        <f t="shared" si="3"/>
        <v>20.718523132812095</v>
      </c>
      <c r="L18" s="54">
        <f t="shared" si="4"/>
        <v>24.862227759374512</v>
      </c>
      <c r="M18" s="54">
        <f t="shared" si="5"/>
        <v>31.077784699218139</v>
      </c>
      <c r="N18" s="54"/>
      <c r="O18" s="158">
        <f t="shared" ref="O18:O19" si="20">B18/328000000</f>
        <v>2.775984756097561E-2</v>
      </c>
      <c r="P18" s="158"/>
      <c r="Q18" s="158"/>
      <c r="R18" s="158"/>
      <c r="S18" s="158"/>
      <c r="T18" s="158"/>
      <c r="U18" s="158"/>
      <c r="V18" t="s">
        <v>2219</v>
      </c>
    </row>
    <row r="19" spans="1:22" x14ac:dyDescent="0.25">
      <c r="A19" s="218">
        <v>44166</v>
      </c>
      <c r="B19" s="29">
        <v>13447627</v>
      </c>
      <c r="C19" s="30">
        <f>(B19-B18)/(A19-A18)</f>
        <v>144746.56666666668</v>
      </c>
      <c r="D19" s="169">
        <v>267302</v>
      </c>
      <c r="E19" s="169"/>
      <c r="F19" s="58">
        <f t="shared" si="16"/>
        <v>1.987726161649189</v>
      </c>
      <c r="G19" s="54">
        <f>(D19-D18)/(A19-A18)</f>
        <v>1245.6666666666667</v>
      </c>
      <c r="H19" s="54">
        <f t="shared" si="18"/>
        <v>8719.6666666666679</v>
      </c>
      <c r="I19" s="54">
        <f>D19-D18</f>
        <v>37370</v>
      </c>
      <c r="J19" s="55">
        <f t="shared" si="19"/>
        <v>909336.66666666674</v>
      </c>
      <c r="K19" s="54">
        <f t="shared" si="3"/>
        <v>12.6245871532729</v>
      </c>
      <c r="L19" s="54">
        <f t="shared" si="4"/>
        <v>15.149504583927479</v>
      </c>
      <c r="M19" s="54">
        <f t="shared" si="5"/>
        <v>18.936880729909348</v>
      </c>
      <c r="N19" s="54"/>
      <c r="O19" s="158">
        <f t="shared" si="20"/>
        <v>4.099886280487805E-2</v>
      </c>
      <c r="P19" s="158"/>
      <c r="Q19" s="158"/>
      <c r="R19" s="158"/>
      <c r="S19" s="158"/>
      <c r="T19" s="158"/>
      <c r="U19" s="158"/>
      <c r="V19" t="s">
        <v>2219</v>
      </c>
    </row>
    <row r="20" spans="1:22" x14ac:dyDescent="0.25">
      <c r="A20" s="219">
        <v>44175</v>
      </c>
      <c r="B20" s="29">
        <v>15271571</v>
      </c>
      <c r="C20" s="30">
        <f>(B20-B19)/(A20-A19)</f>
        <v>202660.44444444444</v>
      </c>
      <c r="D20" s="29">
        <v>288762</v>
      </c>
      <c r="E20" s="29"/>
      <c r="F20" s="220">
        <f>D20*100/B18</f>
        <v>3.1713861154523277</v>
      </c>
      <c r="G20" s="54">
        <f>(D20-D19)/(A20-A19)</f>
        <v>2384.4444444444443</v>
      </c>
      <c r="H20" s="54">
        <f t="shared" ref="H20:H36" si="21">G20*7</f>
        <v>16691.111111111109</v>
      </c>
      <c r="I20" s="221">
        <f>G20*(A21-A19)</f>
        <v>73917.777777777781</v>
      </c>
      <c r="J20" s="55">
        <f t="shared" ref="J20:J36" si="22">(EDATE(A20,24)-A20)*G20</f>
        <v>1740644.4444444443</v>
      </c>
      <c r="K20" s="293">
        <f t="shared" si="3"/>
        <v>6.5952584611063605</v>
      </c>
      <c r="L20" s="293">
        <f t="shared" si="4"/>
        <v>7.9143101533276328</v>
      </c>
      <c r="M20" s="293">
        <f t="shared" si="5"/>
        <v>9.8928876916595403</v>
      </c>
      <c r="N20" s="293"/>
      <c r="O20" s="294">
        <f t="shared" ref="O20:O21" si="23">B20/328000000</f>
        <v>4.6559667682926832E-2</v>
      </c>
      <c r="P20" s="55"/>
      <c r="Q20" s="158"/>
      <c r="R20" s="158"/>
      <c r="S20" s="158"/>
      <c r="T20" s="158"/>
      <c r="U20" s="158"/>
      <c r="V20" t="s">
        <v>2220</v>
      </c>
    </row>
    <row r="21" spans="1:22" x14ac:dyDescent="0.25">
      <c r="A21" s="218">
        <v>44197</v>
      </c>
      <c r="B21" s="29">
        <v>19663976</v>
      </c>
      <c r="C21" s="30">
        <f t="shared" ref="C21:C36" si="24">(B21-B20)/(A21-A20)</f>
        <v>199654.77272727274</v>
      </c>
      <c r="D21" s="29">
        <v>341199</v>
      </c>
      <c r="E21" s="29"/>
      <c r="F21" s="58">
        <f>D21*100/B19</f>
        <v>2.5372431879617126</v>
      </c>
      <c r="G21" s="54">
        <f>(D21-D19)/(A21-A19)</f>
        <v>2383.7741935483873</v>
      </c>
      <c r="H21" s="54">
        <f t="shared" si="21"/>
        <v>16686.419354838712</v>
      </c>
      <c r="I21" s="54">
        <f>D21-D19</f>
        <v>73897</v>
      </c>
      <c r="J21" s="55">
        <f t="shared" si="22"/>
        <v>1740155.1612903227</v>
      </c>
      <c r="K21" s="55">
        <f>($D$91-D21-Q21)*F21/3.5</f>
        <v>3913734.5886888239</v>
      </c>
      <c r="L21" s="55">
        <f>($D$92-D21-Q21)*F21/3.5</f>
        <v>4745950.3543402655</v>
      </c>
      <c r="M21" s="55">
        <f>($D$93-D21-Q21)*F21/3.5</f>
        <v>5994274.0028174277</v>
      </c>
      <c r="N21" s="55"/>
      <c r="O21" s="158">
        <f t="shared" si="23"/>
        <v>5.9951146341463417E-2</v>
      </c>
      <c r="P21" s="55"/>
      <c r="Q21" s="158"/>
      <c r="R21" s="158"/>
      <c r="S21" s="158"/>
      <c r="T21" s="158"/>
      <c r="U21" s="158"/>
    </row>
    <row r="22" spans="1:22" x14ac:dyDescent="0.25">
      <c r="A22" s="218">
        <v>44228</v>
      </c>
      <c r="B22" s="29">
        <v>25921703</v>
      </c>
      <c r="C22" s="30">
        <f t="shared" si="24"/>
        <v>201862.16129032258</v>
      </c>
      <c r="D22" s="29">
        <v>438035</v>
      </c>
      <c r="E22" s="29"/>
      <c r="F22" s="58">
        <f>D22*100/B19</f>
        <v>3.2573404958361798</v>
      </c>
      <c r="G22" s="54">
        <f t="shared" ref="G22:G36" si="25">(D22-D21)/(A22-A21)</f>
        <v>3123.7419354838707</v>
      </c>
      <c r="H22" s="54">
        <f t="shared" si="21"/>
        <v>21866.193548387095</v>
      </c>
      <c r="I22" s="54">
        <f t="shared" ref="I22:I36" si="26">D22-D21</f>
        <v>96836</v>
      </c>
      <c r="J22" s="55">
        <f t="shared" si="22"/>
        <v>2280331.6129032257</v>
      </c>
      <c r="K22" s="55">
        <f>(328000000*0.5-P22-B22)*(F22/100)</f>
        <v>4304519.9927388681</v>
      </c>
      <c r="L22" s="55">
        <f>(328000000*0.6-P22-B22)*(F22/100)</f>
        <v>5372927.6753731351</v>
      </c>
      <c r="M22" s="55">
        <f>(328000000*0.75-P22-B22)*(F22/100)</f>
        <v>6975539.1993245352</v>
      </c>
      <c r="N22" s="55">
        <f>(328000000*0.95-P22-B22)*(F22/100)</f>
        <v>9112354.5645930693</v>
      </c>
      <c r="O22" s="158">
        <f t="shared" ref="O22:O23" si="27">(B22+P22)/328000000</f>
        <v>9.7108850609756103E-2</v>
      </c>
      <c r="P22" s="299">
        <v>5930000</v>
      </c>
      <c r="Q22" s="55">
        <f>P22*F22/100</f>
        <v>193160.29140308549</v>
      </c>
      <c r="R22" s="300">
        <v>0.1</v>
      </c>
      <c r="S22" s="55">
        <f>P22*R22</f>
        <v>593000</v>
      </c>
      <c r="T22" s="55"/>
      <c r="U22" s="55"/>
    </row>
    <row r="23" spans="1:22" x14ac:dyDescent="0.25">
      <c r="A23" s="218">
        <v>44256</v>
      </c>
      <c r="B23" s="29">
        <v>28405925</v>
      </c>
      <c r="C23" s="30">
        <f>(B23-B22)/(A23-A22)</f>
        <v>88722.21428571429</v>
      </c>
      <c r="D23" s="29">
        <v>511839</v>
      </c>
      <c r="E23" s="29"/>
      <c r="F23" s="58">
        <f t="shared" ref="F23:F45" si="28">D23*100/B21</f>
        <v>2.6029273021895469</v>
      </c>
      <c r="G23" s="54">
        <f>(D23-D22)/(A23-A22)</f>
        <v>2635.8571428571427</v>
      </c>
      <c r="H23" s="54">
        <f t="shared" si="21"/>
        <v>18451</v>
      </c>
      <c r="I23" s="54">
        <f>D23-D22</f>
        <v>73804</v>
      </c>
      <c r="J23" s="55">
        <f t="shared" si="22"/>
        <v>1924175.7142857141</v>
      </c>
      <c r="K23" s="55">
        <f t="shared" ref="K23:K26" si="29">(328000000*0.5-P23-B23)*(F23/100)</f>
        <v>2866449.6144586932</v>
      </c>
      <c r="L23" s="55">
        <f t="shared" ref="L23:L28" si="30">(328000000*0.6-P23-B23)*(F23/100)</f>
        <v>3720209.7695768648</v>
      </c>
      <c r="M23" s="55">
        <f t="shared" ref="M23:M33" si="31">(328000000*0.75-P23-B23)*(F23/100)</f>
        <v>5000850.0022541219</v>
      </c>
      <c r="N23" s="55">
        <f t="shared" ref="N23:N36" si="32">(328000000*0.95-P23-B23)*(F23/100)</f>
        <v>6708370.3124904651</v>
      </c>
      <c r="O23" s="158">
        <f t="shared" si="27"/>
        <v>0.16425586890243901</v>
      </c>
      <c r="P23" s="299">
        <v>25470000</v>
      </c>
      <c r="Q23" s="55">
        <f t="shared" ref="Q23:Q26" si="33">Q22+(P23-P22)*(F23/100)</f>
        <v>701772.28625092295</v>
      </c>
      <c r="R23" s="300">
        <v>0.1</v>
      </c>
      <c r="S23" s="55">
        <f>P23*R23</f>
        <v>2547000</v>
      </c>
      <c r="T23" s="55"/>
      <c r="U23" s="55"/>
    </row>
    <row r="24" spans="1:22" x14ac:dyDescent="0.25">
      <c r="A24" s="218">
        <v>44287</v>
      </c>
      <c r="B24" s="29">
        <v>30213759</v>
      </c>
      <c r="C24" s="30">
        <f t="shared" si="24"/>
        <v>58317.225806451614</v>
      </c>
      <c r="D24" s="29">
        <v>548162</v>
      </c>
      <c r="E24" s="29"/>
      <c r="F24" s="58">
        <f t="shared" si="28"/>
        <v>2.1146835915834696</v>
      </c>
      <c r="G24" s="54">
        <f t="shared" si="25"/>
        <v>1171.7096774193549</v>
      </c>
      <c r="H24" s="54">
        <f t="shared" si="21"/>
        <v>8201.9677419354848</v>
      </c>
      <c r="I24" s="54">
        <f t="shared" si="26"/>
        <v>36323</v>
      </c>
      <c r="J24" s="55">
        <f t="shared" si="22"/>
        <v>855348.06451612909</v>
      </c>
      <c r="K24" s="55">
        <f t="shared" si="29"/>
        <v>1674326.9768595835</v>
      </c>
      <c r="L24" s="55">
        <f t="shared" si="30"/>
        <v>2367943.1948989616</v>
      </c>
      <c r="M24" s="55">
        <f t="shared" si="31"/>
        <v>3408367.5219580284</v>
      </c>
      <c r="N24" s="55">
        <f t="shared" si="32"/>
        <v>4795599.958036785</v>
      </c>
      <c r="O24" s="158">
        <f>(B24+P24)/328000000</f>
        <v>0.25860902134146341</v>
      </c>
      <c r="P24" s="299">
        <v>54610000</v>
      </c>
      <c r="Q24" s="55">
        <f t="shared" si="33"/>
        <v>1317991.0848383461</v>
      </c>
      <c r="R24" s="300">
        <v>0.1</v>
      </c>
      <c r="S24" s="55">
        <f>P24*R24</f>
        <v>5461000</v>
      </c>
      <c r="T24" s="55"/>
      <c r="U24" s="55"/>
      <c r="V24" t="s">
        <v>2466</v>
      </c>
    </row>
    <row r="25" spans="1:22" x14ac:dyDescent="0.25">
      <c r="A25" s="218">
        <v>44317</v>
      </c>
      <c r="B25" s="29">
        <v>32145557</v>
      </c>
      <c r="C25" s="30">
        <f t="shared" si="24"/>
        <v>64393.26666666667</v>
      </c>
      <c r="D25" s="29">
        <v>573012</v>
      </c>
      <c r="E25" s="29"/>
      <c r="F25" s="58">
        <f t="shared" si="28"/>
        <v>2.017227039781313</v>
      </c>
      <c r="G25" s="54">
        <f t="shared" si="25"/>
        <v>828.33333333333337</v>
      </c>
      <c r="H25" s="54">
        <f t="shared" si="21"/>
        <v>5798.3333333333339</v>
      </c>
      <c r="I25" s="54">
        <f t="shared" si="26"/>
        <v>24850</v>
      </c>
      <c r="J25" s="55">
        <f t="shared" si="22"/>
        <v>604683.33333333337</v>
      </c>
      <c r="K25" s="55">
        <f t="shared" si="29"/>
        <v>573587.27280720475</v>
      </c>
      <c r="L25" s="55">
        <f t="shared" si="30"/>
        <v>1235237.7418554754</v>
      </c>
      <c r="M25" s="55">
        <f t="shared" si="31"/>
        <v>2227713.4454278811</v>
      </c>
      <c r="N25" s="55">
        <f t="shared" si="32"/>
        <v>3551014.3835244225</v>
      </c>
      <c r="O25" s="158">
        <f t="shared" ref="O25:O36" si="34">(B25+P25)/328000000</f>
        <v>0.41330962500000001</v>
      </c>
      <c r="P25" s="299">
        <v>103420000</v>
      </c>
      <c r="Q25" s="55">
        <f t="shared" si="33"/>
        <v>2302599.6029556049</v>
      </c>
      <c r="R25" s="300">
        <v>0.1</v>
      </c>
      <c r="S25" s="55">
        <f t="shared" ref="S25:S36" si="35">P25*R25</f>
        <v>10342000</v>
      </c>
      <c r="T25" s="55"/>
      <c r="U25" s="55"/>
    </row>
    <row r="26" spans="1:22" ht="45" x14ac:dyDescent="0.25">
      <c r="A26" s="218">
        <v>44348</v>
      </c>
      <c r="B26" s="29">
        <v>33093238</v>
      </c>
      <c r="C26" s="30">
        <f t="shared" si="24"/>
        <v>30570.354838709678</v>
      </c>
      <c r="D26" s="29">
        <v>591539</v>
      </c>
      <c r="E26" s="324" t="s">
        <v>3664</v>
      </c>
      <c r="F26" s="58">
        <f t="shared" si="28"/>
        <v>1.9578464235449815</v>
      </c>
      <c r="G26" s="54">
        <f t="shared" si="25"/>
        <v>597.64516129032256</v>
      </c>
      <c r="H26" s="54">
        <f t="shared" si="21"/>
        <v>4183.5161290322576</v>
      </c>
      <c r="I26" s="54">
        <f t="shared" si="26"/>
        <v>18527</v>
      </c>
      <c r="J26" s="55">
        <f t="shared" si="22"/>
        <v>436280.96774193546</v>
      </c>
      <c r="K26" s="55">
        <f t="shared" si="29"/>
        <v>-97172.577675025474</v>
      </c>
      <c r="L26" s="55">
        <f t="shared" si="30"/>
        <v>545001.04924772854</v>
      </c>
      <c r="M26" s="55">
        <f t="shared" si="31"/>
        <v>1508261.4896318594</v>
      </c>
      <c r="N26" s="55">
        <f t="shared" si="32"/>
        <v>2792608.7434773673</v>
      </c>
      <c r="O26" s="158">
        <f t="shared" si="34"/>
        <v>0.5151318231707317</v>
      </c>
      <c r="P26" s="299">
        <v>135870000</v>
      </c>
      <c r="Q26" s="55">
        <f t="shared" si="33"/>
        <v>2937920.7673959513</v>
      </c>
      <c r="R26" s="300">
        <v>0.1</v>
      </c>
      <c r="S26" s="55">
        <f t="shared" si="35"/>
        <v>13587000</v>
      </c>
      <c r="T26" s="55">
        <f>P26+B26+D26</f>
        <v>169554777</v>
      </c>
      <c r="U26" s="55"/>
    </row>
    <row r="27" spans="1:22" x14ac:dyDescent="0.25">
      <c r="A27" s="218">
        <v>44378</v>
      </c>
      <c r="B27" s="29">
        <v>33496454</v>
      </c>
      <c r="C27" s="30">
        <f t="shared" si="24"/>
        <v>13440.533333333333</v>
      </c>
      <c r="D27" s="29">
        <v>602401</v>
      </c>
      <c r="E27" s="30">
        <f>D27-D26</f>
        <v>10862</v>
      </c>
      <c r="F27" s="58">
        <f t="shared" si="28"/>
        <v>1.8739790385340034</v>
      </c>
      <c r="G27" s="54">
        <f t="shared" si="25"/>
        <v>362.06666666666666</v>
      </c>
      <c r="H27" s="54">
        <f t="shared" si="21"/>
        <v>2534.4666666666667</v>
      </c>
      <c r="I27" s="54">
        <f t="shared" si="26"/>
        <v>10862</v>
      </c>
      <c r="J27" s="55">
        <f t="shared" si="22"/>
        <v>264308.66666666669</v>
      </c>
      <c r="K27" s="55"/>
      <c r="L27" s="55">
        <f t="shared" si="30"/>
        <v>139115.69595592946</v>
      </c>
      <c r="M27" s="55">
        <f t="shared" si="31"/>
        <v>1061113.3829146591</v>
      </c>
      <c r="N27" s="55">
        <f t="shared" si="32"/>
        <v>2290443.6321929651</v>
      </c>
      <c r="O27" s="158">
        <f t="shared" si="34"/>
        <v>0.57736723780487809</v>
      </c>
      <c r="P27" s="299">
        <v>155880000</v>
      </c>
      <c r="Q27" s="55">
        <f t="shared" ref="Q27:Q30" si="36">Q26+(P27-P26)*(F27/100)</f>
        <v>3312903.9730066052</v>
      </c>
      <c r="R27" s="300">
        <v>0.1</v>
      </c>
      <c r="S27" s="55">
        <f t="shared" si="35"/>
        <v>15588000</v>
      </c>
      <c r="T27" s="55">
        <f t="shared" ref="T27:T39" si="37">P27+B27+D27</f>
        <v>189978855</v>
      </c>
      <c r="U27" s="296">
        <f>(T27)/328000000</f>
        <v>0.57920382621951216</v>
      </c>
    </row>
    <row r="28" spans="1:22" x14ac:dyDescent="0.25">
      <c r="A28" s="218">
        <v>44409</v>
      </c>
      <c r="B28" s="29">
        <v>34926462</v>
      </c>
      <c r="C28" s="30">
        <f t="shared" si="24"/>
        <v>46129.290322580644</v>
      </c>
      <c r="D28" s="29">
        <v>610873</v>
      </c>
      <c r="E28" s="30">
        <f>E27+D28-D27</f>
        <v>19334</v>
      </c>
      <c r="F28" s="58">
        <f t="shared" si="28"/>
        <v>1.8459148663542686</v>
      </c>
      <c r="G28" s="54">
        <f t="shared" si="25"/>
        <v>273.29032258064518</v>
      </c>
      <c r="H28" s="54">
        <f t="shared" si="21"/>
        <v>1913.0322580645163</v>
      </c>
      <c r="I28" s="54">
        <f t="shared" si="26"/>
        <v>8472</v>
      </c>
      <c r="J28" s="55">
        <f t="shared" si="22"/>
        <v>199501.93548387097</v>
      </c>
      <c r="K28" s="55"/>
      <c r="L28" s="55">
        <f t="shared" si="30"/>
        <v>-47559.295083968522</v>
      </c>
      <c r="M28" s="55">
        <f t="shared" si="31"/>
        <v>860630.81916233175</v>
      </c>
      <c r="N28" s="55">
        <f t="shared" si="32"/>
        <v>2071550.9714907319</v>
      </c>
      <c r="O28" s="158">
        <f t="shared" si="34"/>
        <v>0.60785506707317072</v>
      </c>
      <c r="P28" s="299">
        <v>164450000</v>
      </c>
      <c r="Q28" s="55">
        <f t="shared" si="36"/>
        <v>3471098.8770531658</v>
      </c>
      <c r="R28" s="300">
        <v>0.1</v>
      </c>
      <c r="S28" s="55">
        <f t="shared" si="35"/>
        <v>16445000</v>
      </c>
      <c r="T28" s="55">
        <f t="shared" si="37"/>
        <v>199987335</v>
      </c>
      <c r="U28" s="296">
        <f t="shared" ref="U28:U39" si="38">(T28)/328000000</f>
        <v>0.60971748475609755</v>
      </c>
    </row>
    <row r="29" spans="1:22" s="334" customFormat="1" x14ac:dyDescent="0.25">
      <c r="A29" s="328">
        <v>44440</v>
      </c>
      <c r="B29" s="353">
        <v>39488866</v>
      </c>
      <c r="C29" s="326">
        <f t="shared" si="24"/>
        <v>147174.32258064515</v>
      </c>
      <c r="D29" s="325">
        <v>641725</v>
      </c>
      <c r="E29" s="326">
        <f t="shared" ref="E29:E36" si="39">E28+D29-D28</f>
        <v>50186</v>
      </c>
      <c r="F29" s="329">
        <f t="shared" si="28"/>
        <v>1.9157998037643029</v>
      </c>
      <c r="G29" s="330">
        <f t="shared" si="25"/>
        <v>995.22580645161293</v>
      </c>
      <c r="H29" s="330">
        <f t="shared" si="21"/>
        <v>6966.5806451612907</v>
      </c>
      <c r="I29" s="330">
        <f t="shared" si="26"/>
        <v>30852</v>
      </c>
      <c r="J29" s="331">
        <f t="shared" si="22"/>
        <v>726514.83870967745</v>
      </c>
      <c r="K29" s="55"/>
      <c r="L29" s="55"/>
      <c r="M29" s="55">
        <f t="shared" si="31"/>
        <v>604264.98327703588</v>
      </c>
      <c r="N29" s="55">
        <f t="shared" si="32"/>
        <v>1861029.6545464187</v>
      </c>
      <c r="O29" s="332">
        <f t="shared" si="34"/>
        <v>0.65383800609756093</v>
      </c>
      <c r="P29" s="327">
        <v>174970000</v>
      </c>
      <c r="Q29" s="55">
        <f t="shared" si="36"/>
        <v>3672641.0164091703</v>
      </c>
      <c r="R29" s="333">
        <v>0.1</v>
      </c>
      <c r="S29" s="331">
        <f t="shared" si="35"/>
        <v>17497000</v>
      </c>
      <c r="T29" s="55">
        <f t="shared" si="37"/>
        <v>215100591</v>
      </c>
      <c r="U29" s="296">
        <f t="shared" si="38"/>
        <v>0.65579448475609758</v>
      </c>
    </row>
    <row r="30" spans="1:22" x14ac:dyDescent="0.25">
      <c r="A30" s="218">
        <v>44470</v>
      </c>
      <c r="B30" s="29">
        <v>43289203</v>
      </c>
      <c r="C30" s="326">
        <f t="shared" si="24"/>
        <v>126677.9</v>
      </c>
      <c r="D30" s="169">
        <v>694701</v>
      </c>
      <c r="E30" s="30">
        <f t="shared" si="39"/>
        <v>103162</v>
      </c>
      <c r="F30" s="58">
        <f t="shared" si="28"/>
        <v>1.9890391417258353</v>
      </c>
      <c r="G30" s="54">
        <f t="shared" si="25"/>
        <v>1765.8666666666666</v>
      </c>
      <c r="H30" s="54">
        <f t="shared" si="21"/>
        <v>12361.066666666666</v>
      </c>
      <c r="I30" s="54">
        <f t="shared" si="26"/>
        <v>52976</v>
      </c>
      <c r="J30" s="55">
        <f t="shared" si="22"/>
        <v>1289082.6666666665</v>
      </c>
      <c r="K30" s="55"/>
      <c r="L30" s="55"/>
      <c r="M30" s="55">
        <f t="shared" si="31"/>
        <v>355258.24335419375</v>
      </c>
      <c r="N30" s="55">
        <f t="shared" si="32"/>
        <v>1660067.9203263416</v>
      </c>
      <c r="O30" s="158">
        <f t="shared" si="34"/>
        <v>0.69554635060975611</v>
      </c>
      <c r="P30" s="299">
        <v>184850000</v>
      </c>
      <c r="Q30" s="55">
        <f t="shared" si="36"/>
        <v>3869158.083611683</v>
      </c>
      <c r="R30" s="300">
        <v>0.1</v>
      </c>
      <c r="S30" s="55">
        <f t="shared" si="35"/>
        <v>18485000</v>
      </c>
      <c r="T30" s="55">
        <f t="shared" si="37"/>
        <v>228833904</v>
      </c>
      <c r="U30" s="296">
        <f t="shared" si="38"/>
        <v>0.69766434146341461</v>
      </c>
    </row>
    <row r="31" spans="1:22" x14ac:dyDescent="0.25">
      <c r="A31" s="218">
        <v>44501</v>
      </c>
      <c r="B31" s="29">
        <v>45889173</v>
      </c>
      <c r="C31" s="326">
        <f t="shared" si="24"/>
        <v>83870</v>
      </c>
      <c r="D31" s="169">
        <v>743926</v>
      </c>
      <c r="E31" s="30">
        <f t="shared" si="39"/>
        <v>152387</v>
      </c>
      <c r="F31" s="58">
        <f t="shared" si="28"/>
        <v>1.8838879799688348</v>
      </c>
      <c r="G31" s="54">
        <f t="shared" si="25"/>
        <v>1587.9032258064517</v>
      </c>
      <c r="H31" s="54">
        <f t="shared" si="21"/>
        <v>11115.322580645163</v>
      </c>
      <c r="I31" s="54">
        <f t="shared" si="26"/>
        <v>49225</v>
      </c>
      <c r="J31" s="55">
        <f t="shared" si="22"/>
        <v>1159169.3548387098</v>
      </c>
      <c r="K31" s="55"/>
      <c r="L31" s="55"/>
      <c r="M31" s="55">
        <f t="shared" si="31"/>
        <v>144321.39901920711</v>
      </c>
      <c r="N31" s="55">
        <f t="shared" si="32"/>
        <v>1380151.9138787629</v>
      </c>
      <c r="O31" s="158">
        <f t="shared" si="34"/>
        <v>0.72664382012195117</v>
      </c>
      <c r="P31" s="299">
        <v>192450000</v>
      </c>
      <c r="Q31" s="55">
        <f>Q30+(P31-P30)*(F31/100)</f>
        <v>4012333.5700893146</v>
      </c>
      <c r="R31" s="300">
        <v>0.1</v>
      </c>
      <c r="S31" s="55">
        <f t="shared" si="35"/>
        <v>19245000</v>
      </c>
      <c r="T31" s="55">
        <f t="shared" si="37"/>
        <v>239083099</v>
      </c>
      <c r="U31" s="296">
        <f t="shared" si="38"/>
        <v>0.7289118871951219</v>
      </c>
    </row>
    <row r="32" spans="1:22" x14ac:dyDescent="0.25">
      <c r="A32" s="218">
        <v>44531</v>
      </c>
      <c r="B32" s="29">
        <v>48497243</v>
      </c>
      <c r="C32" s="326">
        <f t="shared" si="24"/>
        <v>86935.666666666672</v>
      </c>
      <c r="D32" s="169">
        <v>780131</v>
      </c>
      <c r="E32" s="30">
        <f t="shared" si="39"/>
        <v>188592</v>
      </c>
      <c r="F32" s="58">
        <f t="shared" si="28"/>
        <v>1.8021375907521329</v>
      </c>
      <c r="G32" s="54">
        <f t="shared" si="25"/>
        <v>1206.8333333333333</v>
      </c>
      <c r="H32" s="54">
        <f t="shared" si="21"/>
        <v>8447.8333333333321</v>
      </c>
      <c r="I32" s="54">
        <f t="shared" si="26"/>
        <v>36205</v>
      </c>
      <c r="J32" s="55">
        <f t="shared" si="22"/>
        <v>880988.33333333326</v>
      </c>
      <c r="K32" s="55"/>
      <c r="L32" s="55"/>
      <c r="M32" s="55">
        <f t="shared" si="31"/>
        <v>35011.15419396841</v>
      </c>
      <c r="N32" s="55">
        <f t="shared" si="32"/>
        <v>1217213.4137273675</v>
      </c>
      <c r="O32" s="158">
        <f t="shared" si="34"/>
        <v>0.74407696036585369</v>
      </c>
      <c r="P32" s="299">
        <v>195560000</v>
      </c>
      <c r="Q32" s="55">
        <f t="shared" ref="Q32" si="40">Q31+(P32-P31)*(F32/100)</f>
        <v>4068380.0491617061</v>
      </c>
      <c r="R32" s="300">
        <v>0.1</v>
      </c>
      <c r="S32" s="55">
        <f t="shared" si="35"/>
        <v>19556000</v>
      </c>
      <c r="T32" s="55">
        <f t="shared" si="37"/>
        <v>244837374</v>
      </c>
      <c r="U32" s="296">
        <f t="shared" si="38"/>
        <v>0.74645540853658532</v>
      </c>
    </row>
    <row r="33" spans="1:21" x14ac:dyDescent="0.25">
      <c r="A33" s="218">
        <v>44562</v>
      </c>
      <c r="B33" s="29">
        <v>53795407</v>
      </c>
      <c r="C33" s="326">
        <f>(B33-B32)/(A33-A32)</f>
        <v>170908.51612903227</v>
      </c>
      <c r="D33" s="29">
        <v>820355</v>
      </c>
      <c r="E33" s="30">
        <f t="shared" si="39"/>
        <v>228816</v>
      </c>
      <c r="F33" s="58">
        <f t="shared" si="28"/>
        <v>1.7876874791358737</v>
      </c>
      <c r="G33" s="54">
        <f t="shared" si="25"/>
        <v>1297.5483870967741</v>
      </c>
      <c r="H33" s="54">
        <f t="shared" si="21"/>
        <v>9082.8387096774186</v>
      </c>
      <c r="I33" s="330">
        <f t="shared" si="26"/>
        <v>40224</v>
      </c>
      <c r="J33" s="55">
        <f t="shared" si="22"/>
        <v>947210.32258064509</v>
      </c>
      <c r="K33" s="55"/>
      <c r="L33" s="55"/>
      <c r="M33" s="55">
        <f t="shared" si="31"/>
        <v>-214797.9265062153</v>
      </c>
      <c r="N33" s="55">
        <f t="shared" si="32"/>
        <v>957925.05980691779</v>
      </c>
      <c r="O33" s="158">
        <f t="shared" si="34"/>
        <v>0.78663233841463409</v>
      </c>
      <c r="P33" s="299">
        <v>204220000</v>
      </c>
      <c r="Q33" s="55">
        <f t="shared" ref="Q33:Q45" si="41">Q32+(P33-P32)*(F33/100)</f>
        <v>4223193.7848548731</v>
      </c>
      <c r="R33" s="300">
        <v>0.1</v>
      </c>
      <c r="S33" s="55">
        <f t="shared" si="35"/>
        <v>20422000</v>
      </c>
      <c r="T33" s="55">
        <f t="shared" si="37"/>
        <v>258835762</v>
      </c>
      <c r="U33" s="296">
        <f t="shared" si="38"/>
        <v>0.78913342073170734</v>
      </c>
    </row>
    <row r="34" spans="1:21" x14ac:dyDescent="0.25">
      <c r="A34" s="218">
        <v>44593</v>
      </c>
      <c r="B34" s="29">
        <v>74282892</v>
      </c>
      <c r="C34" s="30">
        <f t="shared" si="24"/>
        <v>660886.61290322582</v>
      </c>
      <c r="D34" s="29">
        <v>881887</v>
      </c>
      <c r="E34" s="30">
        <f t="shared" si="39"/>
        <v>290348</v>
      </c>
      <c r="F34" s="58">
        <f t="shared" si="28"/>
        <v>1.8184270804837297</v>
      </c>
      <c r="G34" s="54">
        <f t="shared" si="25"/>
        <v>1984.9032258064517</v>
      </c>
      <c r="H34" s="54">
        <f t="shared" ref="H34" si="42">G34*7</f>
        <v>13894.322580645163</v>
      </c>
      <c r="I34" s="54">
        <f t="shared" si="26"/>
        <v>61532</v>
      </c>
      <c r="J34" s="55">
        <f t="shared" ref="J34" si="43">(EDATE(A34,24)-A34)*G34</f>
        <v>1448979.3548387098</v>
      </c>
      <c r="K34" s="55"/>
      <c r="L34" s="55"/>
      <c r="M34" s="55"/>
      <c r="N34" s="55">
        <f t="shared" si="32"/>
        <v>477648.20513190818</v>
      </c>
      <c r="O34" s="158">
        <f t="shared" ref="O34" si="44">(B34+P34)/328000000</f>
        <v>0.86991735365853662</v>
      </c>
      <c r="P34" s="29">
        <v>211050000</v>
      </c>
      <c r="Q34" s="55">
        <f t="shared" si="41"/>
        <v>4347392.3544519115</v>
      </c>
      <c r="R34" s="300">
        <v>0.1</v>
      </c>
      <c r="S34" s="55">
        <f>P34*R34</f>
        <v>21105000</v>
      </c>
      <c r="T34" s="55">
        <f t="shared" si="37"/>
        <v>286214779</v>
      </c>
      <c r="U34" s="296">
        <f t="shared" si="38"/>
        <v>0.87260603353658539</v>
      </c>
    </row>
    <row r="35" spans="1:21" x14ac:dyDescent="0.25">
      <c r="A35" s="218">
        <v>44621</v>
      </c>
      <c r="B35" s="29">
        <v>78855000</v>
      </c>
      <c r="C35" s="30">
        <f t="shared" si="24"/>
        <v>163289.57142857142</v>
      </c>
      <c r="D35" s="29">
        <v>947882</v>
      </c>
      <c r="E35" s="30">
        <f t="shared" si="39"/>
        <v>356343</v>
      </c>
      <c r="F35" s="58">
        <f t="shared" si="28"/>
        <v>1.7620128796497441</v>
      </c>
      <c r="G35" s="54">
        <f t="shared" si="25"/>
        <v>2356.9642857142858</v>
      </c>
      <c r="H35" s="54">
        <f t="shared" ref="H35" si="45">G35*7</f>
        <v>16498.75</v>
      </c>
      <c r="I35" s="330">
        <f t="shared" si="26"/>
        <v>65995</v>
      </c>
      <c r="J35" s="55">
        <f t="shared" ref="J35" si="46">(EDATE(A35,24)-A35)*G35</f>
        <v>1722940.892857143</v>
      </c>
      <c r="K35" s="55"/>
      <c r="L35" s="55"/>
      <c r="M35" s="55"/>
      <c r="N35" s="55">
        <f t="shared" si="32"/>
        <v>316193.21125314658</v>
      </c>
      <c r="O35" s="158">
        <f t="shared" ref="O35" si="47">(B35+P35)/328000000</f>
        <v>0.89528963414634144</v>
      </c>
      <c r="P35" s="29">
        <v>214800000</v>
      </c>
      <c r="Q35" s="55">
        <f t="shared" si="41"/>
        <v>4413467.8374387771</v>
      </c>
      <c r="R35" s="300">
        <v>0.1</v>
      </c>
      <c r="S35" s="55">
        <f t="shared" ref="S35" si="48">P35*R35</f>
        <v>21480000</v>
      </c>
      <c r="T35" s="55">
        <f t="shared" si="37"/>
        <v>294602882</v>
      </c>
      <c r="U35" s="296">
        <f t="shared" si="38"/>
        <v>0.89817951829268294</v>
      </c>
    </row>
    <row r="36" spans="1:21" x14ac:dyDescent="0.25">
      <c r="A36" s="218">
        <v>44652</v>
      </c>
      <c r="B36" s="29">
        <v>79904464</v>
      </c>
      <c r="C36" s="30">
        <f t="shared" si="24"/>
        <v>33853.677419354841</v>
      </c>
      <c r="D36" s="29">
        <f>977495</f>
        <v>977495</v>
      </c>
      <c r="E36" s="30">
        <f t="shared" si="39"/>
        <v>385956</v>
      </c>
      <c r="F36" s="58">
        <f t="shared" si="28"/>
        <v>1.3159086482524132</v>
      </c>
      <c r="G36" s="54">
        <f t="shared" si="25"/>
        <v>955.25806451612902</v>
      </c>
      <c r="H36" s="54">
        <f t="shared" si="21"/>
        <v>6686.8064516129034</v>
      </c>
      <c r="I36" s="54">
        <f t="shared" si="26"/>
        <v>29613</v>
      </c>
      <c r="J36" s="55">
        <f t="shared" si="22"/>
        <v>698293.6451612903</v>
      </c>
      <c r="K36" s="55"/>
      <c r="L36" s="55"/>
      <c r="M36" s="55"/>
      <c r="N36" s="55">
        <f t="shared" si="32"/>
        <v>184958.01378223131</v>
      </c>
      <c r="O36" s="158">
        <f t="shared" si="34"/>
        <v>0.90714775609756093</v>
      </c>
      <c r="P36" s="29">
        <v>217640000</v>
      </c>
      <c r="Q36" s="55">
        <f t="shared" si="41"/>
        <v>4450839.643049146</v>
      </c>
      <c r="R36" s="300">
        <v>0.1</v>
      </c>
      <c r="S36" s="55">
        <f t="shared" si="35"/>
        <v>21764000</v>
      </c>
      <c r="T36" s="55">
        <f t="shared" si="37"/>
        <v>298521959</v>
      </c>
      <c r="U36" s="296">
        <f t="shared" si="38"/>
        <v>0.91012792378048779</v>
      </c>
    </row>
    <row r="37" spans="1:21" x14ac:dyDescent="0.25">
      <c r="A37" s="218">
        <v>44682</v>
      </c>
      <c r="B37" s="169">
        <v>81173065</v>
      </c>
      <c r="C37" s="30">
        <f t="shared" ref="C37:C45" si="49">(B37-B36)/(A37-A36)</f>
        <v>42286.7</v>
      </c>
      <c r="D37" s="169">
        <v>991030</v>
      </c>
      <c r="E37" s="30">
        <f t="shared" ref="E37:E39" si="50">E36+D37-D36</f>
        <v>399491</v>
      </c>
      <c r="F37" s="58">
        <f t="shared" si="28"/>
        <v>1.2567750935260922</v>
      </c>
      <c r="G37" s="54">
        <f t="shared" ref="G37:G39" si="51">(D37-D36)/(A37-A36)</f>
        <v>451.16666666666669</v>
      </c>
      <c r="H37" s="54">
        <f t="shared" ref="H37:H39" si="52">G37*7</f>
        <v>3158.166666666667</v>
      </c>
      <c r="I37" s="54">
        <f t="shared" ref="I37:I45" si="53">D37-D36</f>
        <v>13535</v>
      </c>
      <c r="J37" s="55">
        <f t="shared" ref="J37:J39" si="54">(EDATE(A37,24)-A37)*G37</f>
        <v>329802.83333333337</v>
      </c>
      <c r="K37" s="55"/>
      <c r="L37" s="55"/>
      <c r="M37" s="55"/>
      <c r="N37" s="55">
        <f t="shared" ref="N37:N39" si="55">(328000000*0.95-P37-B37)*(F37/100)</f>
        <v>134436.4148506753</v>
      </c>
      <c r="O37" s="158">
        <f t="shared" ref="O37:O39" si="56">(B37+P37)/328000000</f>
        <v>0.91738739329268293</v>
      </c>
      <c r="P37" s="169">
        <v>219730000</v>
      </c>
      <c r="Q37" s="55">
        <f t="shared" si="41"/>
        <v>4477106.2425038414</v>
      </c>
      <c r="R37" s="300">
        <v>0.1</v>
      </c>
      <c r="S37" s="55">
        <f t="shared" ref="S37:S39" si="57">P37*R37</f>
        <v>21973000</v>
      </c>
      <c r="T37" s="55">
        <f t="shared" si="37"/>
        <v>301894095</v>
      </c>
      <c r="U37" s="296">
        <f t="shared" si="38"/>
        <v>0.92040882621951214</v>
      </c>
    </row>
    <row r="38" spans="1:21" x14ac:dyDescent="0.25">
      <c r="A38" s="218">
        <v>44713</v>
      </c>
      <c r="B38" s="169">
        <v>84176694</v>
      </c>
      <c r="C38" s="30">
        <f t="shared" si="49"/>
        <v>96891.258064516136</v>
      </c>
      <c r="D38" s="169">
        <v>1002420</v>
      </c>
      <c r="E38" s="30">
        <f t="shared" si="50"/>
        <v>410881</v>
      </c>
      <c r="F38" s="58">
        <f t="shared" si="28"/>
        <v>1.2545231515475781</v>
      </c>
      <c r="G38" s="54">
        <f t="shared" si="51"/>
        <v>367.41935483870969</v>
      </c>
      <c r="H38" s="54">
        <f t="shared" si="52"/>
        <v>2571.9354838709678</v>
      </c>
      <c r="I38" s="54">
        <f t="shared" si="53"/>
        <v>11390</v>
      </c>
      <c r="J38" s="55">
        <f t="shared" si="54"/>
        <v>268583.54838709679</v>
      </c>
      <c r="K38" s="55"/>
      <c r="L38" s="55"/>
      <c r="M38" s="55"/>
      <c r="N38" s="55">
        <f t="shared" si="55"/>
        <v>76191.029834328147</v>
      </c>
      <c r="O38" s="158">
        <f t="shared" si="56"/>
        <v>0.93148382317073175</v>
      </c>
      <c r="P38" s="169">
        <v>221350000</v>
      </c>
      <c r="Q38" s="55">
        <f t="shared" si="41"/>
        <v>4497429.5175589118</v>
      </c>
      <c r="R38" s="300">
        <v>0.1</v>
      </c>
      <c r="S38" s="55">
        <f t="shared" si="57"/>
        <v>22135000</v>
      </c>
      <c r="T38" s="55">
        <f t="shared" si="37"/>
        <v>306529114</v>
      </c>
      <c r="U38" s="296">
        <f t="shared" si="38"/>
        <v>0.93453998170731711</v>
      </c>
    </row>
    <row r="39" spans="1:21" x14ac:dyDescent="0.25">
      <c r="A39" s="218">
        <v>44743</v>
      </c>
      <c r="B39" s="169">
        <v>87407521</v>
      </c>
      <c r="C39" s="30">
        <f t="shared" si="49"/>
        <v>107694.23333333334</v>
      </c>
      <c r="D39" s="169">
        <v>1013261</v>
      </c>
      <c r="E39" s="30">
        <f t="shared" si="50"/>
        <v>421722</v>
      </c>
      <c r="F39" s="58">
        <f t="shared" si="28"/>
        <v>1.2482724411108537</v>
      </c>
      <c r="G39" s="54">
        <f t="shared" si="51"/>
        <v>361.36666666666667</v>
      </c>
      <c r="H39" s="54">
        <f t="shared" si="52"/>
        <v>2529.5666666666666</v>
      </c>
      <c r="I39" s="54">
        <f t="shared" si="53"/>
        <v>10841</v>
      </c>
      <c r="J39" s="55">
        <f t="shared" si="54"/>
        <v>264159.03333333333</v>
      </c>
      <c r="K39" s="55"/>
      <c r="L39" s="55"/>
      <c r="M39" s="55"/>
      <c r="N39" s="55">
        <f t="shared" si="55"/>
        <v>23997.775543143529</v>
      </c>
      <c r="O39" s="158">
        <f t="shared" si="56"/>
        <v>0.94413878353658531</v>
      </c>
      <c r="P39" s="169">
        <v>222270000</v>
      </c>
      <c r="Q39" s="55">
        <f t="shared" si="41"/>
        <v>4508913.6240171315</v>
      </c>
      <c r="R39" s="300">
        <v>0.1</v>
      </c>
      <c r="S39" s="55">
        <f t="shared" si="57"/>
        <v>22227000</v>
      </c>
      <c r="T39" s="55">
        <f t="shared" si="37"/>
        <v>310690782</v>
      </c>
      <c r="U39" s="296">
        <f t="shared" si="38"/>
        <v>0.94722799390243906</v>
      </c>
    </row>
    <row r="40" spans="1:21" x14ac:dyDescent="0.25">
      <c r="A40" s="218">
        <v>44778</v>
      </c>
      <c r="B40" s="169">
        <v>91805380</v>
      </c>
      <c r="C40" s="30">
        <f t="shared" si="49"/>
        <v>125653.11428571428</v>
      </c>
      <c r="D40" s="169">
        <v>1028062</v>
      </c>
      <c r="E40" s="30">
        <f t="shared" ref="E40:E45" si="58">E39+D40-D39</f>
        <v>436523</v>
      </c>
      <c r="F40" s="58">
        <f t="shared" si="28"/>
        <v>1.2213142987060053</v>
      </c>
      <c r="G40" s="54">
        <f t="shared" ref="G40:G45" si="59">(D40-D39)/(A40-A39)</f>
        <v>422.8857142857143</v>
      </c>
      <c r="H40" s="54">
        <f t="shared" ref="H40" si="60">G40*7</f>
        <v>2960.2000000000003</v>
      </c>
      <c r="I40" s="54">
        <f t="shared" si="53"/>
        <v>14801</v>
      </c>
      <c r="J40" s="55">
        <f t="shared" ref="J40" si="61">(EDATE(A40,24)-A40)*G40</f>
        <v>309129.45714285714</v>
      </c>
      <c r="K40" s="55"/>
      <c r="L40" s="55"/>
      <c r="M40" s="55"/>
      <c r="N40" s="55">
        <f t="shared" ref="N40" si="62">(328000000*0.95-P40-B40)*(F40/100)</f>
        <v>-39514.158557474359</v>
      </c>
      <c r="O40" s="158">
        <f t="shared" ref="O40" si="63">(B40+P40)/328000000</f>
        <v>0.95986396341463409</v>
      </c>
      <c r="P40" s="169">
        <v>223030000</v>
      </c>
      <c r="Q40" s="55">
        <f t="shared" si="41"/>
        <v>4518195.6126872972</v>
      </c>
      <c r="R40" s="300">
        <v>0.1</v>
      </c>
      <c r="S40" s="55">
        <f t="shared" ref="S40" si="64">P40*R40</f>
        <v>22303000</v>
      </c>
      <c r="T40" s="55">
        <f t="shared" ref="T40" si="65">P40+B40+D40</f>
        <v>315863442</v>
      </c>
      <c r="U40" s="296">
        <f t="shared" ref="U40" si="66">(T40)/328000000</f>
        <v>0.96299829878048782</v>
      </c>
    </row>
    <row r="41" spans="1:21" x14ac:dyDescent="0.25">
      <c r="A41" s="218">
        <v>44805</v>
      </c>
      <c r="B41" s="169">
        <v>94385669</v>
      </c>
      <c r="C41" s="30">
        <f t="shared" si="49"/>
        <v>95566.259259259255</v>
      </c>
      <c r="D41" s="169">
        <v>1041280</v>
      </c>
      <c r="E41" s="30">
        <f t="shared" si="58"/>
        <v>449741</v>
      </c>
      <c r="F41" s="58">
        <f t="shared" si="28"/>
        <v>1.1912933670776453</v>
      </c>
      <c r="G41" s="54">
        <f t="shared" si="59"/>
        <v>489.55555555555554</v>
      </c>
      <c r="H41" s="54">
        <f t="shared" ref="H41:H43" si="67">G41*7</f>
        <v>3426.8888888888887</v>
      </c>
      <c r="I41" s="54">
        <f t="shared" si="53"/>
        <v>13218</v>
      </c>
      <c r="J41" s="55">
        <f t="shared" ref="J41:J43" si="68">(EDATE(A41,24)-A41)*G41</f>
        <v>357865.11111111112</v>
      </c>
      <c r="K41" s="55"/>
      <c r="L41" s="55"/>
      <c r="M41" s="55"/>
      <c r="N41" s="55">
        <f t="shared" ref="N41:N43" si="69">(328000000*0.95-P41-B41)*(F41/100)</f>
        <v>-79765.06067847411</v>
      </c>
      <c r="O41" s="158">
        <f t="shared" ref="O41:O43" si="70">(B41+P41)/328000000</f>
        <v>0.97041362499999995</v>
      </c>
      <c r="P41" s="169">
        <v>223910000</v>
      </c>
      <c r="Q41" s="55">
        <f t="shared" si="41"/>
        <v>4528678.99431758</v>
      </c>
      <c r="R41" s="300">
        <v>0.1</v>
      </c>
      <c r="S41" s="55">
        <f t="shared" ref="S41:S43" si="71">P41*R41</f>
        <v>22391000</v>
      </c>
      <c r="T41" s="55">
        <f t="shared" ref="T41:T43" si="72">P41+B41+D41</f>
        <v>319336949</v>
      </c>
      <c r="U41" s="296">
        <f t="shared" ref="U41:U43" si="73">(T41)/328000000</f>
        <v>0.97358825914634151</v>
      </c>
    </row>
    <row r="42" spans="1:21" x14ac:dyDescent="0.25">
      <c r="A42" s="218">
        <v>44835</v>
      </c>
      <c r="B42" s="169">
        <v>96143199</v>
      </c>
      <c r="C42" s="30">
        <f t="shared" si="49"/>
        <v>58584.333333333336</v>
      </c>
      <c r="D42" s="169">
        <v>1053789</v>
      </c>
      <c r="E42" s="30">
        <f t="shared" si="58"/>
        <v>462250</v>
      </c>
      <c r="F42" s="58">
        <f t="shared" si="28"/>
        <v>1.1478510300812437</v>
      </c>
      <c r="G42" s="54">
        <f t="shared" si="59"/>
        <v>416.96666666666664</v>
      </c>
      <c r="H42" s="54">
        <f t="shared" si="67"/>
        <v>2918.7666666666664</v>
      </c>
      <c r="I42" s="54">
        <f t="shared" si="53"/>
        <v>12509</v>
      </c>
      <c r="J42" s="55">
        <f t="shared" si="68"/>
        <v>304802.6333333333</v>
      </c>
      <c r="K42" s="55"/>
      <c r="L42" s="55"/>
      <c r="M42" s="55"/>
      <c r="N42" s="55">
        <f t="shared" si="69"/>
        <v>-112802.92497831827</v>
      </c>
      <c r="O42" s="158">
        <f t="shared" si="70"/>
        <v>0.9799613231707317</v>
      </c>
      <c r="P42" s="169">
        <v>225284115</v>
      </c>
      <c r="Q42" s="55">
        <f t="shared" si="41"/>
        <v>4544451.7874995805</v>
      </c>
      <c r="R42" s="300">
        <v>0.1</v>
      </c>
      <c r="S42" s="55">
        <f t="shared" si="71"/>
        <v>22528411.5</v>
      </c>
      <c r="T42" s="55">
        <f t="shared" si="72"/>
        <v>322481103</v>
      </c>
      <c r="U42" s="296">
        <f t="shared" si="73"/>
        <v>0.98317409451219517</v>
      </c>
    </row>
    <row r="43" spans="1:21" x14ac:dyDescent="0.25">
      <c r="A43" s="218">
        <v>44866</v>
      </c>
      <c r="B43" s="169">
        <v>97329787</v>
      </c>
      <c r="C43" s="30">
        <f t="shared" si="49"/>
        <v>38277.032258064515</v>
      </c>
      <c r="D43" s="169">
        <v>1066351</v>
      </c>
      <c r="E43" s="30">
        <f t="shared" si="58"/>
        <v>474812</v>
      </c>
      <c r="F43" s="58">
        <f t="shared" si="28"/>
        <v>1.1297806237936396</v>
      </c>
      <c r="G43" s="54">
        <f t="shared" si="59"/>
        <v>405.22580645161293</v>
      </c>
      <c r="H43" s="54">
        <f t="shared" si="67"/>
        <v>2836.5806451612907</v>
      </c>
      <c r="I43" s="54">
        <f t="shared" si="53"/>
        <v>12562</v>
      </c>
      <c r="J43" s="55">
        <f t="shared" si="68"/>
        <v>296220.06451612903</v>
      </c>
      <c r="K43" s="55"/>
      <c r="L43" s="55"/>
      <c r="M43" s="55"/>
      <c r="N43" s="55">
        <f t="shared" si="69"/>
        <v>-143071.05724401868</v>
      </c>
      <c r="O43" s="158">
        <f t="shared" si="70"/>
        <v>0.98860857926829271</v>
      </c>
      <c r="P43" s="169">
        <v>226933827</v>
      </c>
      <c r="Q43" s="55">
        <f t="shared" si="41"/>
        <v>4563089.9140239786</v>
      </c>
      <c r="R43" s="300">
        <v>0.1</v>
      </c>
      <c r="S43" s="55">
        <f t="shared" si="71"/>
        <v>22693382.700000003</v>
      </c>
      <c r="T43" s="55">
        <f t="shared" si="72"/>
        <v>325329965</v>
      </c>
      <c r="U43" s="296">
        <f t="shared" si="73"/>
        <v>0.99185964939024385</v>
      </c>
    </row>
    <row r="44" spans="1:21" x14ac:dyDescent="0.25">
      <c r="A44" s="218">
        <v>44896</v>
      </c>
      <c r="B44" s="169">
        <v>98481551</v>
      </c>
      <c r="C44" s="30">
        <f t="shared" si="49"/>
        <v>38392.133333333331</v>
      </c>
      <c r="D44" s="169">
        <v>1075779</v>
      </c>
      <c r="E44" s="30">
        <f t="shared" si="58"/>
        <v>484240</v>
      </c>
      <c r="F44" s="58">
        <f t="shared" si="28"/>
        <v>1.1189340600160391</v>
      </c>
      <c r="G44" s="54">
        <f t="shared" si="59"/>
        <v>314.26666666666665</v>
      </c>
      <c r="H44" s="54">
        <f t="shared" ref="H44" si="74">G44*7</f>
        <v>2199.8666666666668</v>
      </c>
      <c r="I44" s="54">
        <f t="shared" si="53"/>
        <v>9428</v>
      </c>
      <c r="J44" s="55">
        <f t="shared" ref="J44" si="75">(EDATE(A44,24)-A44)*G44</f>
        <v>229728.93333333332</v>
      </c>
      <c r="K44" s="55"/>
      <c r="L44" s="55"/>
      <c r="M44" s="55"/>
      <c r="N44" s="55">
        <f t="shared" ref="N44" si="76">(328000000*0.95-P44-B44)*(F44/100)</f>
        <v>-170883.5648882871</v>
      </c>
      <c r="O44" s="158">
        <f t="shared" ref="O44" si="77">(B44+P44)/328000000</f>
        <v>0.99656096341463418</v>
      </c>
      <c r="P44" s="169">
        <v>228390445</v>
      </c>
      <c r="Q44" s="55">
        <f t="shared" si="41"/>
        <v>4579388.5089503033</v>
      </c>
      <c r="R44" s="300">
        <v>0.1</v>
      </c>
      <c r="S44" s="55">
        <f t="shared" ref="S44" si="78">P44*R44</f>
        <v>22839044.5</v>
      </c>
      <c r="T44" s="55">
        <f t="shared" ref="T44" si="79">P44+B44+D44</f>
        <v>327947775</v>
      </c>
      <c r="U44" s="296">
        <f t="shared" ref="U44" si="80">(T44)/328000000</f>
        <v>0.99984077743902444</v>
      </c>
    </row>
    <row r="45" spans="1:21" s="371" customFormat="1" x14ac:dyDescent="0.25">
      <c r="A45" s="364">
        <v>44927</v>
      </c>
      <c r="B45" s="365">
        <v>100622056</v>
      </c>
      <c r="C45" s="30">
        <f t="shared" si="49"/>
        <v>69048.548387096773</v>
      </c>
      <c r="D45" s="365">
        <v>1088481</v>
      </c>
      <c r="E45" s="30">
        <f t="shared" si="58"/>
        <v>496942</v>
      </c>
      <c r="F45" s="58">
        <f t="shared" si="28"/>
        <v>1.1183431440161273</v>
      </c>
      <c r="G45" s="54">
        <f t="shared" si="59"/>
        <v>409.74193548387098</v>
      </c>
      <c r="H45" s="366">
        <f t="shared" ref="H45:H47" si="81">G45*7</f>
        <v>2868.1935483870966</v>
      </c>
      <c r="I45" s="54">
        <f t="shared" si="53"/>
        <v>12702</v>
      </c>
      <c r="J45" s="367">
        <f t="shared" ref="J45:J47" si="82">(EDATE(A45,24)-A45)*G45</f>
        <v>299521.3548387097</v>
      </c>
      <c r="K45" s="367"/>
      <c r="L45" s="367"/>
      <c r="M45" s="367"/>
      <c r="N45" s="367">
        <f t="shared" ref="N45:N47" si="83">(328000000*0.95-P45-B45)*(F45/100)</f>
        <v>-203060.09211451371</v>
      </c>
      <c r="O45" s="368">
        <f t="shared" ref="O45:O47" si="84">(B45+P45)/328000000</f>
        <v>1.0053573963414635</v>
      </c>
      <c r="P45" s="365">
        <v>229135170</v>
      </c>
      <c r="Q45" s="55">
        <f t="shared" si="41"/>
        <v>4587717.089929577</v>
      </c>
      <c r="R45" s="369">
        <v>0.1</v>
      </c>
      <c r="S45" s="367">
        <f t="shared" ref="S45:S47" si="85">P45*R45</f>
        <v>22913517</v>
      </c>
      <c r="T45" s="367">
        <f t="shared" ref="T45:T47" si="86">P45+B45+D45</f>
        <v>330845707</v>
      </c>
      <c r="U45" s="370">
        <f t="shared" ref="U45:U47" si="87">(T45)/328000000</f>
        <v>1.0086759359756097</v>
      </c>
    </row>
    <row r="46" spans="1:21" x14ac:dyDescent="0.25">
      <c r="A46" s="218">
        <v>44958</v>
      </c>
      <c r="B46" s="365">
        <v>102405447</v>
      </c>
      <c r="C46" s="30">
        <f>(B46-B43)/(A46-A43)</f>
        <v>55170.217391304344</v>
      </c>
      <c r="D46" s="365">
        <v>1106938</v>
      </c>
      <c r="E46" s="396">
        <f>E43+D46-D43</f>
        <v>515399</v>
      </c>
      <c r="F46" s="397">
        <f>D46*100/B42</f>
        <v>1.1513430086718874</v>
      </c>
      <c r="G46" s="366">
        <f>(D46-D43)/(A46-A43)</f>
        <v>441.16304347826087</v>
      </c>
      <c r="H46" s="366">
        <f t="shared" ref="H46" si="88">G46*7</f>
        <v>3088.141304347826</v>
      </c>
      <c r="I46" s="366">
        <f>D46-D43</f>
        <v>40587</v>
      </c>
      <c r="J46" s="367">
        <f t="shared" ref="J46" si="89">(EDATE(A46,24)-A46)*G46</f>
        <v>322490.1847826087</v>
      </c>
      <c r="K46" s="55"/>
      <c r="L46" s="55"/>
      <c r="M46" s="55"/>
      <c r="N46" s="55">
        <f t="shared" ref="N46" si="90">(328000000*0.95-P46-B46)*(F46/100)</f>
        <v>-239441.40905161685</v>
      </c>
      <c r="O46" s="158">
        <f t="shared" ref="O46" si="91">(B46+P46)/328000000</f>
        <v>1.0134045884146341</v>
      </c>
      <c r="P46" s="365">
        <v>229991258</v>
      </c>
      <c r="Q46" s="55">
        <f>Q43+(P46-P43)*(F46/100)</f>
        <v>4598291.4320874456</v>
      </c>
      <c r="R46" s="300">
        <v>0.1</v>
      </c>
      <c r="S46" s="55">
        <f t="shared" ref="S46" si="92">P46*R46</f>
        <v>22999125.800000001</v>
      </c>
      <c r="T46" s="55">
        <f t="shared" ref="T46" si="93">P46+B46+D46</f>
        <v>333503643</v>
      </c>
      <c r="U46" s="296">
        <f t="shared" ref="U46" si="94">(T46)/328000000</f>
        <v>1.0167793993902439</v>
      </c>
    </row>
    <row r="47" spans="1:21" x14ac:dyDescent="0.25">
      <c r="A47" s="218">
        <v>44986</v>
      </c>
      <c r="B47" s="365">
        <v>103451631</v>
      </c>
      <c r="C47" s="30">
        <f>(B47-B44)/(A47-A44)</f>
        <v>55223.111111111109</v>
      </c>
      <c r="D47" s="365">
        <v>1117624</v>
      </c>
      <c r="E47" s="396">
        <f>E44+D47-D44</f>
        <v>526085</v>
      </c>
      <c r="F47" s="397">
        <f>D47*100/B43</f>
        <v>1.1482856733262963</v>
      </c>
      <c r="G47" s="366">
        <f>(D47-D44)/(A47-A44)</f>
        <v>464.94444444444446</v>
      </c>
      <c r="H47" s="366">
        <f t="shared" si="81"/>
        <v>3254.6111111111113</v>
      </c>
      <c r="I47" s="366">
        <f>D47-D44</f>
        <v>41845</v>
      </c>
      <c r="J47" s="367">
        <f t="shared" si="82"/>
        <v>339874.38888888888</v>
      </c>
      <c r="K47" s="55"/>
      <c r="L47" s="55"/>
      <c r="M47" s="55"/>
      <c r="N47" s="55">
        <f t="shared" si="83"/>
        <v>-253505.00711746135</v>
      </c>
      <c r="O47" s="158">
        <f t="shared" si="84"/>
        <v>1.0173073902439025</v>
      </c>
      <c r="P47" s="365">
        <v>230225193</v>
      </c>
      <c r="Q47" s="55">
        <f>Q44+(P47-P44)*(F47/100)</f>
        <v>4600456.6573759438</v>
      </c>
      <c r="R47" s="300">
        <v>0.1</v>
      </c>
      <c r="S47" s="55">
        <f t="shared" si="85"/>
        <v>23022519.300000001</v>
      </c>
      <c r="T47" s="55">
        <f t="shared" si="86"/>
        <v>334794448</v>
      </c>
      <c r="U47" s="296">
        <f t="shared" si="87"/>
        <v>1.020714780487805</v>
      </c>
    </row>
    <row r="48" spans="1:21" x14ac:dyDescent="0.25">
      <c r="A48" s="218">
        <v>45017</v>
      </c>
      <c r="B48" s="365">
        <v>104247309</v>
      </c>
      <c r="C48" s="30">
        <f>(B48-B45)/(A48-A45)</f>
        <v>40280.588888888888</v>
      </c>
      <c r="D48" s="365">
        <v>1127077</v>
      </c>
      <c r="E48" s="396">
        <f>E45+D48-D45</f>
        <v>535538</v>
      </c>
      <c r="F48" s="397">
        <f>D48*100/B44</f>
        <v>1.1444549649710534</v>
      </c>
      <c r="G48" s="366">
        <f>(D48-D45)/(A48-A45)</f>
        <v>428.84444444444443</v>
      </c>
      <c r="H48" s="366">
        <f t="shared" ref="H48" si="95">G48*7</f>
        <v>3001.911111111111</v>
      </c>
      <c r="I48" s="366">
        <f>D48-D45</f>
        <v>38596</v>
      </c>
      <c r="J48" s="367">
        <f t="shared" ref="J48" si="96">(EDATE(A48,24)-A48)*G48</f>
        <v>313485.2888888889</v>
      </c>
      <c r="K48" s="55"/>
      <c r="L48" s="55"/>
      <c r="M48" s="55"/>
      <c r="N48" s="55">
        <f t="shared" ref="N48" si="97">(328000000*0.95-P48-B48)*(F48/100)</f>
        <v>-264105.74637632386</v>
      </c>
      <c r="O48" s="158">
        <f t="shared" ref="O48" si="98">(B48+P48)/328000000</f>
        <v>1.0203566737804879</v>
      </c>
      <c r="P48" s="365">
        <v>230429680</v>
      </c>
      <c r="Q48" s="55">
        <f>Q45+(P48-P45)*(F48/100)</f>
        <v>4602532.1738966238</v>
      </c>
      <c r="R48" s="300">
        <v>0.1</v>
      </c>
      <c r="S48" s="55">
        <f t="shared" ref="S48" si="99">P48*R48</f>
        <v>23042968</v>
      </c>
      <c r="T48" s="55">
        <f t="shared" ref="T48" si="100">P48+B48+D48</f>
        <v>335804066</v>
      </c>
      <c r="U48" s="296">
        <f t="shared" ref="U48" si="101">(T48)/328000000</f>
        <v>1.0237928841463415</v>
      </c>
    </row>
    <row r="49" spans="1:22" x14ac:dyDescent="0.25">
      <c r="A49" s="159"/>
      <c r="B49" s="30"/>
      <c r="C49" s="30"/>
      <c r="D49" s="30"/>
      <c r="E49" s="30"/>
      <c r="F49" s="58"/>
      <c r="G49" s="54"/>
      <c r="H49" s="54"/>
      <c r="I49" s="54"/>
      <c r="J49" s="55"/>
      <c r="K49" s="54"/>
      <c r="L49" s="54"/>
      <c r="M49" s="54"/>
      <c r="N49" s="54"/>
      <c r="O49" s="158"/>
      <c r="P49" s="158"/>
      <c r="Q49" s="158"/>
      <c r="R49" s="158"/>
      <c r="S49" s="158"/>
      <c r="T49" s="158"/>
      <c r="U49" s="158"/>
    </row>
    <row r="50" spans="1:22" x14ac:dyDescent="0.25">
      <c r="A50" s="218">
        <v>43901</v>
      </c>
      <c r="B50" s="30"/>
      <c r="C50" s="30"/>
      <c r="D50" s="30"/>
      <c r="E50" s="30"/>
      <c r="F50" s="58"/>
      <c r="G50" s="54"/>
      <c r="H50" s="54"/>
      <c r="I50" s="54"/>
      <c r="J50" s="55"/>
      <c r="K50" s="54"/>
      <c r="L50" s="54"/>
      <c r="M50" s="54"/>
      <c r="N50" s="54"/>
      <c r="O50" s="158"/>
      <c r="P50" s="158"/>
      <c r="Q50" s="158"/>
      <c r="R50" s="158"/>
      <c r="S50" s="158"/>
      <c r="T50" s="158"/>
      <c r="U50" s="158"/>
    </row>
    <row r="51" spans="1:22" x14ac:dyDescent="0.25">
      <c r="A51" s="218">
        <v>43922</v>
      </c>
      <c r="B51" s="30"/>
      <c r="C51" s="30"/>
      <c r="D51" s="30"/>
      <c r="E51" s="30"/>
      <c r="F51" s="58"/>
      <c r="G51" s="54"/>
      <c r="H51" s="54"/>
      <c r="I51" s="54"/>
      <c r="J51" s="55"/>
      <c r="K51" s="54"/>
      <c r="L51" s="54"/>
      <c r="M51" s="54"/>
      <c r="N51" s="54"/>
      <c r="O51" s="158"/>
      <c r="P51" s="158"/>
      <c r="Q51" s="158"/>
      <c r="R51" s="158"/>
      <c r="S51" s="158"/>
      <c r="T51" s="158"/>
      <c r="U51" s="158"/>
    </row>
    <row r="52" spans="1:22" x14ac:dyDescent="0.25">
      <c r="A52" s="218">
        <v>43952</v>
      </c>
      <c r="B52" s="30"/>
      <c r="C52" s="30"/>
      <c r="F52" s="58"/>
      <c r="G52" s="54"/>
      <c r="H52" s="54"/>
      <c r="I52" s="54"/>
      <c r="J52" s="55"/>
      <c r="K52" s="54"/>
      <c r="L52" s="54"/>
      <c r="M52" s="54"/>
      <c r="N52" s="54"/>
      <c r="O52" s="158"/>
      <c r="P52" s="158"/>
      <c r="Q52" s="158"/>
      <c r="R52" s="158"/>
      <c r="S52" s="158"/>
      <c r="T52" s="158"/>
      <c r="U52" s="158"/>
    </row>
    <row r="53" spans="1:22" x14ac:dyDescent="0.25">
      <c r="A53" s="218">
        <v>43992</v>
      </c>
      <c r="B53" s="29">
        <v>1979893</v>
      </c>
      <c r="C53" s="30"/>
      <c r="D53" s="29">
        <v>112006</v>
      </c>
      <c r="E53" s="29"/>
      <c r="F53" s="58">
        <f>D53*100/B53</f>
        <v>5.6571744028591446</v>
      </c>
      <c r="G53" s="54"/>
      <c r="H53" s="54"/>
      <c r="I53" s="54"/>
      <c r="J53" s="55"/>
      <c r="K53" s="54"/>
      <c r="L53" s="54"/>
      <c r="M53" s="54"/>
      <c r="N53" s="54"/>
      <c r="O53" s="158">
        <f>B53/328000000</f>
        <v>6.0362591463414637E-3</v>
      </c>
      <c r="P53" s="158"/>
      <c r="Q53" s="158"/>
      <c r="R53" s="158"/>
      <c r="S53" s="158"/>
      <c r="T53" s="158"/>
      <c r="U53" s="158"/>
      <c r="V53" t="s">
        <v>1543</v>
      </c>
    </row>
    <row r="54" spans="1:22" x14ac:dyDescent="0.25">
      <c r="A54" s="218">
        <v>44013</v>
      </c>
      <c r="B54" s="29">
        <v>2638338</v>
      </c>
      <c r="C54" s="30">
        <f>(B54-B53)/(A54-A53)</f>
        <v>31354.523809523809</v>
      </c>
      <c r="D54" s="29">
        <v>127485</v>
      </c>
      <c r="E54" s="29"/>
      <c r="F54" s="58">
        <f>D54*100/B54</f>
        <v>4.8320192484814299</v>
      </c>
      <c r="G54" s="54">
        <f>(D54-D53)/(A54-A53)</f>
        <v>737.09523809523807</v>
      </c>
      <c r="H54" s="54">
        <f>G54*7</f>
        <v>5159.6666666666661</v>
      </c>
      <c r="I54" s="54">
        <f>D54-D12</f>
        <v>23785</v>
      </c>
      <c r="J54" s="55">
        <f>(EDATE(A54,24)-A54)*G54</f>
        <v>538079.52380952379</v>
      </c>
      <c r="K54" s="54">
        <f t="shared" ref="K54:K60" si="102">($D$91/$G54)/365</f>
        <v>21.335136335839902</v>
      </c>
      <c r="L54" s="54">
        <f t="shared" ref="L54:L60" si="103">($D$92/$G54)/365</f>
        <v>25.602163603007881</v>
      </c>
      <c r="M54" s="54">
        <f t="shared" ref="M54:M60" si="104">($D$93/$G54)/365</f>
        <v>32.002704503759844</v>
      </c>
      <c r="N54" s="54"/>
      <c r="O54" s="158">
        <f>B54/328000000</f>
        <v>8.0437134146341457E-3</v>
      </c>
      <c r="P54" s="158"/>
      <c r="Q54" s="158"/>
      <c r="R54" s="158"/>
      <c r="S54" s="158"/>
      <c r="T54" s="158"/>
      <c r="U54" s="158"/>
      <c r="V54" t="s">
        <v>1544</v>
      </c>
    </row>
    <row r="55" spans="1:22" x14ac:dyDescent="0.25">
      <c r="A55" s="218">
        <v>44044</v>
      </c>
      <c r="B55" s="29">
        <v>4563262</v>
      </c>
      <c r="C55" s="30">
        <f>(B55-B54)/(A55-A54)</f>
        <v>62094.322580645159</v>
      </c>
      <c r="D55" s="29">
        <v>153320</v>
      </c>
      <c r="E55" s="29"/>
      <c r="F55" s="58">
        <f>D55*100/B55</f>
        <v>3.3598772106444907</v>
      </c>
      <c r="G55" s="54">
        <f>(D55-D54)/(A55-A54)</f>
        <v>833.38709677419354</v>
      </c>
      <c r="H55" s="54">
        <f>G55*7</f>
        <v>5833.7096774193551</v>
      </c>
      <c r="I55" s="54">
        <f>D55-D54</f>
        <v>25835</v>
      </c>
      <c r="J55" s="55">
        <f>(EDATE(A55,24)-A55)*G55</f>
        <v>608372.58064516133</v>
      </c>
      <c r="K55" s="54">
        <f t="shared" si="102"/>
        <v>18.87001545636031</v>
      </c>
      <c r="L55" s="54">
        <f t="shared" si="103"/>
        <v>22.644018547632367</v>
      </c>
      <c r="M55" s="54">
        <f t="shared" si="104"/>
        <v>28.30502318454046</v>
      </c>
      <c r="N55" s="54"/>
      <c r="O55" s="158">
        <f>B55/328000000</f>
        <v>1.3912384146341463E-2</v>
      </c>
      <c r="P55" s="158"/>
      <c r="Q55" s="158"/>
      <c r="R55" s="158"/>
      <c r="S55" s="158"/>
      <c r="T55" s="158"/>
      <c r="U55" s="158"/>
      <c r="V55" t="s">
        <v>1541</v>
      </c>
    </row>
    <row r="56" spans="1:22" x14ac:dyDescent="0.25">
      <c r="A56" s="218">
        <v>44075</v>
      </c>
      <c r="B56" s="29">
        <v>6068139</v>
      </c>
      <c r="C56" s="30">
        <f>(B56-B55)/(A56-A55)</f>
        <v>48544.419354838712</v>
      </c>
      <c r="D56" s="29">
        <v>184450</v>
      </c>
      <c r="E56" s="29"/>
      <c r="F56" s="58">
        <f>D56*100/B56</f>
        <v>3.03964691645989</v>
      </c>
      <c r="G56" s="54">
        <f>(D56-D55)/(A56-A55)</f>
        <v>1004.1935483870968</v>
      </c>
      <c r="H56" s="54">
        <f>G56*7</f>
        <v>7029.354838709678</v>
      </c>
      <c r="I56" s="54">
        <f>D56-D55</f>
        <v>31130</v>
      </c>
      <c r="J56" s="55">
        <f>(EDATE(A56,24)-A56)*G56</f>
        <v>733061.29032258072</v>
      </c>
      <c r="K56" s="54">
        <f t="shared" si="102"/>
        <v>15.660354941055848</v>
      </c>
      <c r="L56" s="54">
        <f t="shared" si="103"/>
        <v>18.792425929267019</v>
      </c>
      <c r="M56" s="54">
        <f t="shared" si="104"/>
        <v>23.490532411583764</v>
      </c>
      <c r="N56" s="54"/>
      <c r="O56" s="158">
        <f>B56/328000000</f>
        <v>1.8500423780487805E-2</v>
      </c>
      <c r="P56" s="158"/>
      <c r="Q56" s="158"/>
      <c r="R56" s="158"/>
      <c r="S56" s="158"/>
      <c r="T56" s="158"/>
      <c r="U56" s="158"/>
      <c r="V56" t="s">
        <v>1541</v>
      </c>
    </row>
    <row r="57" spans="1:22" x14ac:dyDescent="0.25">
      <c r="A57" s="218">
        <v>44105</v>
      </c>
      <c r="B57" s="29">
        <v>7268298</v>
      </c>
      <c r="C57" s="30">
        <f>(B57-B56)/(A57-A56)</f>
        <v>40005.300000000003</v>
      </c>
      <c r="D57" s="29">
        <v>207605</v>
      </c>
      <c r="E57" s="29"/>
      <c r="F57" s="58">
        <f t="shared" si="13"/>
        <v>2.8563083131704285</v>
      </c>
      <c r="G57" s="54">
        <f>(D57-D56)/(A57-A56)</f>
        <v>771.83333333333337</v>
      </c>
      <c r="H57" s="54">
        <f t="shared" ref="H57:H76" si="105">G57*7</f>
        <v>5402.8333333333339</v>
      </c>
      <c r="I57" s="54">
        <f>D57-D56</f>
        <v>23155</v>
      </c>
      <c r="J57" s="55">
        <f t="shared" si="15"/>
        <v>563438.33333333337</v>
      </c>
      <c r="K57" s="54">
        <f t="shared" si="102"/>
        <v>20.374900536290575</v>
      </c>
      <c r="L57" s="54">
        <f t="shared" si="103"/>
        <v>24.449880643548688</v>
      </c>
      <c r="M57" s="54">
        <f t="shared" si="104"/>
        <v>30.562350804435855</v>
      </c>
      <c r="N57" s="54"/>
      <c r="O57" s="158">
        <f t="shared" si="8"/>
        <v>2.215944512195122E-2</v>
      </c>
      <c r="P57" s="158"/>
      <c r="Q57" s="158"/>
      <c r="R57" s="158"/>
      <c r="S57" s="158"/>
      <c r="T57" s="158"/>
      <c r="U57" s="158"/>
      <c r="V57" t="s">
        <v>1541</v>
      </c>
    </row>
    <row r="58" spans="1:22" x14ac:dyDescent="0.25">
      <c r="A58" s="218">
        <v>44136</v>
      </c>
      <c r="B58" s="169">
        <v>9198700</v>
      </c>
      <c r="C58" s="30">
        <f>(B58-B57)/(A58-A57)</f>
        <v>62271.032258064515</v>
      </c>
      <c r="D58" s="169">
        <v>230934</v>
      </c>
      <c r="E58" s="169"/>
      <c r="F58" s="58">
        <f t="shared" ref="F58" si="106">D58*100/B58</f>
        <v>2.5105069194560099</v>
      </c>
      <c r="G58" s="54">
        <f>(D58-D57)/(A58-A57)</f>
        <v>752.54838709677415</v>
      </c>
      <c r="H58" s="54">
        <f t="shared" ref="H58" si="107">G58*7</f>
        <v>5267.8387096774186</v>
      </c>
      <c r="I58" s="54">
        <f>D58-D57</f>
        <v>23329</v>
      </c>
      <c r="J58" s="55">
        <f t="shared" ref="J58" si="108">(EDATE(A58,24)-A58)*G58</f>
        <v>549360.32258064509</v>
      </c>
      <c r="K58" s="54">
        <f t="shared" si="102"/>
        <v>20.897031562221638</v>
      </c>
      <c r="L58" s="54">
        <f t="shared" si="103"/>
        <v>25.076437874665967</v>
      </c>
      <c r="M58" s="54">
        <f t="shared" si="104"/>
        <v>31.345547343332456</v>
      </c>
      <c r="N58" s="54"/>
      <c r="O58" s="158">
        <f t="shared" ref="O58" si="109">B58/328000000</f>
        <v>2.8044817073170733E-2</v>
      </c>
      <c r="P58" s="158"/>
      <c r="Q58" s="158"/>
      <c r="R58" s="158"/>
      <c r="S58" s="158"/>
      <c r="T58" s="158"/>
      <c r="U58" s="158"/>
      <c r="V58" t="s">
        <v>2219</v>
      </c>
    </row>
    <row r="59" spans="1:22" x14ac:dyDescent="0.25">
      <c r="A59" s="218">
        <v>44166</v>
      </c>
      <c r="B59" s="29">
        <v>13706356</v>
      </c>
      <c r="C59" s="30">
        <f t="shared" ref="C59:C76" si="110">(B59-B58)/(A59-A58)</f>
        <v>150255.20000000001</v>
      </c>
      <c r="D59" s="29">
        <v>270450</v>
      </c>
      <c r="E59" s="29"/>
      <c r="F59" s="58">
        <f t="shared" si="13"/>
        <v>1.9731721545828811</v>
      </c>
      <c r="G59" s="54">
        <f t="shared" ref="G59:G76" si="111">(D59-D58)/(A59-A58)</f>
        <v>1317.2</v>
      </c>
      <c r="H59" s="54">
        <f t="shared" si="105"/>
        <v>9220.4</v>
      </c>
      <c r="I59" s="54">
        <f t="shared" ref="I59:I76" si="112">D59-D58</f>
        <v>39516</v>
      </c>
      <c r="J59" s="55">
        <f t="shared" si="15"/>
        <v>961556</v>
      </c>
      <c r="K59" s="54">
        <f t="shared" si="102"/>
        <v>11.938982232964072</v>
      </c>
      <c r="L59" s="54">
        <f t="shared" si="103"/>
        <v>14.326778679556886</v>
      </c>
      <c r="M59" s="54">
        <f t="shared" si="104"/>
        <v>17.908473349446105</v>
      </c>
      <c r="N59" s="54"/>
      <c r="O59" s="158">
        <f t="shared" si="8"/>
        <v>4.1787670731707319E-2</v>
      </c>
      <c r="P59" s="158"/>
      <c r="Q59" s="158"/>
      <c r="R59" s="158"/>
      <c r="S59" s="158"/>
      <c r="T59" s="158"/>
      <c r="U59" s="158"/>
      <c r="V59" t="s">
        <v>2219</v>
      </c>
    </row>
    <row r="60" spans="1:22" x14ac:dyDescent="0.25">
      <c r="A60" s="219">
        <v>44176</v>
      </c>
      <c r="B60" s="29">
        <v>15619035</v>
      </c>
      <c r="C60" s="30">
        <f t="shared" si="110"/>
        <v>191267.9</v>
      </c>
      <c r="D60" s="226">
        <v>292190</v>
      </c>
      <c r="E60" s="226"/>
      <c r="F60" s="220">
        <f>D60*100/B59</f>
        <v>2.131784699011174</v>
      </c>
      <c r="G60" s="54">
        <f t="shared" ref="G60" si="113">(D60-D59)/(A60-A59)</f>
        <v>2174</v>
      </c>
      <c r="H60" s="54">
        <f t="shared" ref="H60" si="114">G60*7</f>
        <v>15218</v>
      </c>
      <c r="I60" s="221">
        <f>G60*(A61-A59)</f>
        <v>67394</v>
      </c>
      <c r="J60" s="55">
        <f t="shared" ref="J60" si="115">(EDATE(A60,24)-A60)*G60</f>
        <v>1587020</v>
      </c>
      <c r="K60" s="293">
        <f t="shared" si="102"/>
        <v>7.2336832554095105</v>
      </c>
      <c r="L60" s="293">
        <f t="shared" si="103"/>
        <v>8.6804199064914123</v>
      </c>
      <c r="M60" s="293">
        <f t="shared" si="104"/>
        <v>10.850524883114264</v>
      </c>
      <c r="N60" s="293"/>
      <c r="O60" s="294">
        <f t="shared" ref="O60" si="116">B60/328000000</f>
        <v>4.7619009146341464E-2</v>
      </c>
      <c r="P60" s="158"/>
      <c r="Q60" s="158"/>
      <c r="R60" s="158"/>
      <c r="S60" s="158"/>
      <c r="T60" s="158"/>
      <c r="U60" s="158"/>
      <c r="V60" t="s">
        <v>2220</v>
      </c>
    </row>
    <row r="61" spans="1:22" x14ac:dyDescent="0.25">
      <c r="A61" s="218">
        <v>44197</v>
      </c>
      <c r="B61" s="169">
        <v>20104003</v>
      </c>
      <c r="C61" s="30">
        <f>(B61-B59)/(A61-A59)</f>
        <v>206375.70967741936</v>
      </c>
      <c r="D61" s="226">
        <v>347542</v>
      </c>
      <c r="E61" s="226"/>
      <c r="F61" s="58">
        <f>D61*100/B59</f>
        <v>2.5356265370606161</v>
      </c>
      <c r="G61" s="54">
        <f>(D61-D59)/(A61-A59)</f>
        <v>2486.8387096774195</v>
      </c>
      <c r="H61" s="54">
        <f t="shared" si="105"/>
        <v>17407.870967741936</v>
      </c>
      <c r="I61" s="54">
        <f>D61-D59</f>
        <v>77092</v>
      </c>
      <c r="J61" s="55">
        <f t="shared" si="15"/>
        <v>1815392.2580645161</v>
      </c>
      <c r="K61" s="55">
        <f>($D$91-D61-Q61)*F61/3.5</f>
        <v>3906645.6013670908</v>
      </c>
      <c r="L61" s="55">
        <f>($D$92-D61-Q61)*F61/3.5</f>
        <v>4738331.1055229735</v>
      </c>
      <c r="M61" s="55">
        <f>($D$93-D61-Q61)*F61/3.5</f>
        <v>5985859.3617567951</v>
      </c>
      <c r="N61" s="55"/>
      <c r="O61" s="158">
        <f t="shared" si="8"/>
        <v>6.1292692073170729E-2</v>
      </c>
      <c r="P61" s="55" t="s">
        <v>2470</v>
      </c>
      <c r="Q61" s="158"/>
      <c r="R61" s="158"/>
      <c r="S61" s="158"/>
      <c r="T61" s="158"/>
      <c r="U61" s="158"/>
    </row>
    <row r="62" spans="1:22" x14ac:dyDescent="0.25">
      <c r="A62" s="218">
        <v>44228</v>
      </c>
      <c r="B62" s="169">
        <v>26188167</v>
      </c>
      <c r="C62" s="30">
        <f t="shared" si="110"/>
        <v>196263.35483870967</v>
      </c>
      <c r="D62" s="169">
        <v>441331</v>
      </c>
      <c r="E62" s="169"/>
      <c r="F62" s="58">
        <f>D62*100/B59</f>
        <v>3.219900314861222</v>
      </c>
      <c r="G62" s="54">
        <f t="shared" si="111"/>
        <v>3025.4516129032259</v>
      </c>
      <c r="H62" s="54">
        <f t="shared" si="105"/>
        <v>21178.16129032258</v>
      </c>
      <c r="I62" s="54">
        <f t="shared" si="112"/>
        <v>93789</v>
      </c>
      <c r="J62" s="55">
        <f t="shared" si="15"/>
        <v>2208579.6774193547</v>
      </c>
      <c r="K62" s="55">
        <f>(328000000*0.5-P62-B62)*(F62/100)</f>
        <v>4246463.5560117504</v>
      </c>
      <c r="L62" s="55">
        <f>(328000000*0.6-P62-B62)*(F62/100)</f>
        <v>5302590.859286231</v>
      </c>
      <c r="M62" s="55">
        <f>(328000000*0.75-P62-B62)*(F62/100)</f>
        <v>6886781.8141979519</v>
      </c>
      <c r="N62" s="55">
        <f>(328000000*0.95-P62-B62)*(F62/100)</f>
        <v>8999036.4207469132</v>
      </c>
      <c r="O62" s="158">
        <f t="shared" si="8"/>
        <v>7.984197256097561E-2</v>
      </c>
      <c r="P62" s="299">
        <v>5930000</v>
      </c>
      <c r="Q62" s="55">
        <f>P62*F62/100</f>
        <v>190940.08867127047</v>
      </c>
      <c r="R62" s="300">
        <v>0.1</v>
      </c>
      <c r="S62" s="55">
        <f>P62*R62</f>
        <v>593000</v>
      </c>
      <c r="T62" s="55"/>
      <c r="U62" s="55"/>
    </row>
    <row r="63" spans="1:22" x14ac:dyDescent="0.25">
      <c r="A63" s="218">
        <v>44256</v>
      </c>
      <c r="B63" s="169">
        <v>28657233</v>
      </c>
      <c r="C63" s="30">
        <f>(B63-B62)/(A63-A62)</f>
        <v>88180.928571428565</v>
      </c>
      <c r="D63" s="169">
        <v>514302</v>
      </c>
      <c r="E63" s="169"/>
      <c r="F63" s="58">
        <f>D63*100/B61</f>
        <v>2.5582069401800229</v>
      </c>
      <c r="G63" s="54">
        <f>(D63-D62)/(A63-A62)</f>
        <v>2606.1071428571427</v>
      </c>
      <c r="H63" s="54">
        <f t="shared" si="105"/>
        <v>18242.75</v>
      </c>
      <c r="I63" s="54">
        <f>D63-D62</f>
        <v>72971</v>
      </c>
      <c r="J63" s="55">
        <f t="shared" si="15"/>
        <v>1902458.2142857141</v>
      </c>
      <c r="K63" s="55">
        <f t="shared" ref="K63:K66" si="117">(328000000*0.5-P63-B63)*(F63/100)</f>
        <v>2810772.7507618261</v>
      </c>
      <c r="L63" s="55">
        <f t="shared" ref="L63:L68" si="118">(328000000*0.6-P63-B63)*(F63/100)</f>
        <v>3649864.6271408736</v>
      </c>
      <c r="M63" s="55">
        <f t="shared" ref="M63:M73" si="119">(328000000*0.75-P63-B63)*(F63/100)</f>
        <v>4908502.4417094449</v>
      </c>
      <c r="N63" s="55">
        <f t="shared" ref="N63:N76" si="120">(328000000*0.95-P63-B63)*(F63/100)</f>
        <v>6586686.1944675399</v>
      </c>
      <c r="O63" s="158">
        <f t="shared" si="8"/>
        <v>8.7369612804878052E-2</v>
      </c>
      <c r="P63" s="299">
        <v>25470000</v>
      </c>
      <c r="Q63" s="55">
        <f>P63*F63/100</f>
        <v>651575.30766385188</v>
      </c>
      <c r="R63" s="300">
        <v>0.1</v>
      </c>
      <c r="S63" s="55">
        <f>P63*R63</f>
        <v>2547000</v>
      </c>
      <c r="T63" s="55"/>
      <c r="U63" s="55"/>
    </row>
    <row r="64" spans="1:22" x14ac:dyDescent="0.25">
      <c r="A64" s="218">
        <v>44287</v>
      </c>
      <c r="B64" s="169">
        <v>30461312</v>
      </c>
      <c r="C64" s="30">
        <f t="shared" si="110"/>
        <v>58196.096774193546</v>
      </c>
      <c r="D64" s="169">
        <v>552073</v>
      </c>
      <c r="E64" s="169"/>
      <c r="F64" s="58">
        <f t="shared" ref="F64:F86" si="121">D64*100/B62</f>
        <v>2.1081009602543013</v>
      </c>
      <c r="G64" s="54">
        <f t="shared" si="111"/>
        <v>1218.4193548387098</v>
      </c>
      <c r="H64" s="54">
        <f t="shared" si="105"/>
        <v>8528.9354838709678</v>
      </c>
      <c r="I64" s="54">
        <f t="shared" si="112"/>
        <v>37771</v>
      </c>
      <c r="J64" s="55">
        <f t="shared" si="15"/>
        <v>889446.12903225806</v>
      </c>
      <c r="K64" s="55">
        <f t="shared" si="117"/>
        <v>1663896.4296441216</v>
      </c>
      <c r="L64" s="55">
        <f t="shared" si="118"/>
        <v>2355353.5446075322</v>
      </c>
      <c r="M64" s="55">
        <f t="shared" si="119"/>
        <v>3392539.2170526488</v>
      </c>
      <c r="N64" s="55">
        <f t="shared" si="120"/>
        <v>4775453.4469794706</v>
      </c>
      <c r="O64" s="158">
        <f>(B64+P64)/328000000</f>
        <v>0.25936375609756096</v>
      </c>
      <c r="P64" s="299">
        <v>54610000</v>
      </c>
      <c r="Q64" s="55">
        <f t="shared" ref="Q64:Q76" si="122">P64*F64/100</f>
        <v>1151233.9343948739</v>
      </c>
      <c r="R64" s="300">
        <v>0.1</v>
      </c>
      <c r="S64" s="55">
        <f t="shared" ref="S64:S76" si="123">P64*R64</f>
        <v>5461000</v>
      </c>
      <c r="T64" s="55"/>
      <c r="U64" s="55"/>
      <c r="V64" t="s">
        <v>2466</v>
      </c>
    </row>
    <row r="65" spans="1:22" x14ac:dyDescent="0.25">
      <c r="A65" s="218">
        <v>44317</v>
      </c>
      <c r="B65" s="169">
        <v>32417394</v>
      </c>
      <c r="C65" s="30">
        <f t="shared" si="110"/>
        <v>65202.73333333333</v>
      </c>
      <c r="D65" s="169">
        <v>577010</v>
      </c>
      <c r="E65" s="169"/>
      <c r="F65" s="58">
        <f t="shared" si="121"/>
        <v>2.0134881828960949</v>
      </c>
      <c r="G65" s="54">
        <f t="shared" si="111"/>
        <v>831.23333333333335</v>
      </c>
      <c r="H65" s="54">
        <f t="shared" si="105"/>
        <v>5818.6333333333332</v>
      </c>
      <c r="I65" s="54">
        <f t="shared" si="112"/>
        <v>24937</v>
      </c>
      <c r="J65" s="55">
        <f t="shared" si="15"/>
        <v>606800.33333333337</v>
      </c>
      <c r="K65" s="55">
        <f t="shared" si="117"/>
        <v>567050.74380558659</v>
      </c>
      <c r="L65" s="55">
        <f t="shared" si="118"/>
        <v>1227474.8677955058</v>
      </c>
      <c r="M65" s="55">
        <f t="shared" si="119"/>
        <v>2218111.0537803844</v>
      </c>
      <c r="N65" s="55">
        <f t="shared" si="120"/>
        <v>3538959.3017602228</v>
      </c>
      <c r="O65" s="158">
        <f t="shared" ref="O65:O76" si="124">(B65+P65)/328000000</f>
        <v>0.41413839634146343</v>
      </c>
      <c r="P65" s="299">
        <v>103420000</v>
      </c>
      <c r="Q65" s="55">
        <f t="shared" si="122"/>
        <v>2082349.4787511413</v>
      </c>
      <c r="R65" s="300">
        <v>0.1</v>
      </c>
      <c r="S65" s="55">
        <f t="shared" si="123"/>
        <v>10342000</v>
      </c>
      <c r="T65" s="55"/>
      <c r="U65" s="55"/>
    </row>
    <row r="66" spans="1:22" ht="45" x14ac:dyDescent="0.25">
      <c r="A66" s="218">
        <v>44348</v>
      </c>
      <c r="B66" s="29">
        <v>33287124</v>
      </c>
      <c r="C66" s="30">
        <f t="shared" si="110"/>
        <v>28055.806451612902</v>
      </c>
      <c r="D66" s="29">
        <v>595211</v>
      </c>
      <c r="E66" s="324" t="s">
        <v>3664</v>
      </c>
      <c r="F66" s="58">
        <f t="shared" si="121"/>
        <v>1.953990031683468</v>
      </c>
      <c r="G66" s="54">
        <f t="shared" si="111"/>
        <v>587.12903225806451</v>
      </c>
      <c r="H66" s="54">
        <f t="shared" si="105"/>
        <v>4109.9032258064517</v>
      </c>
      <c r="I66" s="54">
        <f t="shared" si="112"/>
        <v>18201</v>
      </c>
      <c r="J66" s="55">
        <f t="shared" si="15"/>
        <v>428604.19354838709</v>
      </c>
      <c r="K66" s="55">
        <f t="shared" si="117"/>
        <v>-100769.68888155573</v>
      </c>
      <c r="L66" s="55">
        <f t="shared" si="118"/>
        <v>540139.04151062178</v>
      </c>
      <c r="M66" s="55">
        <f t="shared" si="119"/>
        <v>1501502.1370988879</v>
      </c>
      <c r="N66" s="55">
        <f t="shared" si="120"/>
        <v>2783319.5978832431</v>
      </c>
      <c r="O66" s="158">
        <f t="shared" si="124"/>
        <v>0.51572293902439026</v>
      </c>
      <c r="P66" s="299">
        <v>135870000</v>
      </c>
      <c r="Q66" s="55">
        <f t="shared" si="122"/>
        <v>2654886.2560483278</v>
      </c>
      <c r="R66" s="300">
        <v>0.1</v>
      </c>
      <c r="S66" s="55">
        <f t="shared" si="123"/>
        <v>13587000</v>
      </c>
      <c r="T66" s="55"/>
      <c r="U66" s="55"/>
    </row>
    <row r="67" spans="1:22" x14ac:dyDescent="0.25">
      <c r="A67" s="218">
        <v>44378</v>
      </c>
      <c r="B67" s="29">
        <v>33679893</v>
      </c>
      <c r="C67" s="30">
        <f t="shared" si="110"/>
        <v>13092.3</v>
      </c>
      <c r="D67" s="29">
        <v>605035</v>
      </c>
      <c r="E67" s="30">
        <f>D67-D66</f>
        <v>9824</v>
      </c>
      <c r="F67" s="58">
        <f t="shared" si="121"/>
        <v>1.8663900003806599</v>
      </c>
      <c r="G67" s="54">
        <f t="shared" si="111"/>
        <v>327.46666666666664</v>
      </c>
      <c r="H67" s="54">
        <f t="shared" si="105"/>
        <v>2292.2666666666664</v>
      </c>
      <c r="I67" s="54">
        <f t="shared" si="112"/>
        <v>9824</v>
      </c>
      <c r="J67" s="55">
        <f t="shared" si="15"/>
        <v>239050.66666666666</v>
      </c>
      <c r="K67" s="55"/>
      <c r="L67" s="55">
        <f t="shared" si="118"/>
        <v>135128.63306486019</v>
      </c>
      <c r="M67" s="55">
        <f t="shared" si="119"/>
        <v>1053392.5132521449</v>
      </c>
      <c r="N67" s="55">
        <f t="shared" si="120"/>
        <v>2277744.3535018577</v>
      </c>
      <c r="O67" s="158">
        <f t="shared" si="124"/>
        <v>0.57792650304878046</v>
      </c>
      <c r="P67" s="299">
        <v>155880000</v>
      </c>
      <c r="Q67" s="55">
        <f t="shared" si="122"/>
        <v>2909328.7325933725</v>
      </c>
      <c r="R67" s="300">
        <v>0.1</v>
      </c>
      <c r="S67" s="55">
        <f t="shared" si="123"/>
        <v>15588000</v>
      </c>
      <c r="T67" s="55"/>
      <c r="U67" s="55"/>
    </row>
    <row r="68" spans="1:22" x14ac:dyDescent="0.25">
      <c r="A68" s="218">
        <v>44409</v>
      </c>
      <c r="B68" s="29">
        <v>34980079</v>
      </c>
      <c r="C68" s="30">
        <f t="shared" si="110"/>
        <v>41941.483870967742</v>
      </c>
      <c r="D68" s="29">
        <v>613157</v>
      </c>
      <c r="E68" s="30">
        <f>E67+D68-D67</f>
        <v>17946</v>
      </c>
      <c r="F68" s="58">
        <f t="shared" si="121"/>
        <v>1.8420245618095454</v>
      </c>
      <c r="G68" s="54">
        <f t="shared" si="111"/>
        <v>262</v>
      </c>
      <c r="H68" s="54">
        <f t="shared" si="105"/>
        <v>1834</v>
      </c>
      <c r="I68" s="54">
        <f t="shared" si="112"/>
        <v>8122</v>
      </c>
      <c r="J68" s="55">
        <f t="shared" si="15"/>
        <v>191260</v>
      </c>
      <c r="K68" s="55"/>
      <c r="L68" s="55">
        <f t="shared" si="118"/>
        <v>-48446.70117499488</v>
      </c>
      <c r="M68" s="55">
        <f t="shared" si="119"/>
        <v>857829.38323530147</v>
      </c>
      <c r="N68" s="55">
        <f t="shared" si="120"/>
        <v>2066197.4957823635</v>
      </c>
      <c r="O68" s="158">
        <f t="shared" si="124"/>
        <v>0.60801853353658541</v>
      </c>
      <c r="P68" s="299">
        <v>164450000</v>
      </c>
      <c r="Q68" s="55">
        <f t="shared" si="122"/>
        <v>3029209.3918957971</v>
      </c>
      <c r="R68" s="300">
        <v>0.1</v>
      </c>
      <c r="S68" s="55">
        <f t="shared" si="123"/>
        <v>16445000</v>
      </c>
      <c r="T68" s="55"/>
      <c r="U68" s="55"/>
    </row>
    <row r="69" spans="1:22" s="334" customFormat="1" x14ac:dyDescent="0.25">
      <c r="A69" s="328">
        <v>44440</v>
      </c>
      <c r="B69" s="353">
        <v>39552739</v>
      </c>
      <c r="C69" s="326">
        <f t="shared" si="110"/>
        <v>147505.16129032258</v>
      </c>
      <c r="D69" s="353">
        <v>643702</v>
      </c>
      <c r="E69" s="326">
        <f t="shared" ref="E69:E76" si="125">E68+D69-D68</f>
        <v>48491</v>
      </c>
      <c r="F69" s="329">
        <f t="shared" si="121"/>
        <v>1.9112352880693535</v>
      </c>
      <c r="G69" s="330">
        <f t="shared" si="111"/>
        <v>985.32258064516134</v>
      </c>
      <c r="H69" s="330">
        <f t="shared" si="105"/>
        <v>6897.2580645161297</v>
      </c>
      <c r="I69" s="330">
        <f t="shared" si="112"/>
        <v>30545</v>
      </c>
      <c r="J69" s="331">
        <f t="shared" si="15"/>
        <v>719285.48387096776</v>
      </c>
      <c r="K69" s="55"/>
      <c r="L69" s="55"/>
      <c r="M69" s="55">
        <f t="shared" si="119"/>
        <v>601604.5199496923</v>
      </c>
      <c r="N69" s="55">
        <f t="shared" si="120"/>
        <v>1855374.8689231882</v>
      </c>
      <c r="O69" s="332">
        <f t="shared" si="124"/>
        <v>0.65403274085365859</v>
      </c>
      <c r="P69" s="327">
        <v>174970000</v>
      </c>
      <c r="Q69" s="331">
        <f t="shared" si="122"/>
        <v>3344088.3835349474</v>
      </c>
      <c r="R69" s="333">
        <v>0.1</v>
      </c>
      <c r="S69" s="331">
        <f t="shared" si="123"/>
        <v>17497000</v>
      </c>
      <c r="T69" s="331"/>
      <c r="U69" s="331"/>
    </row>
    <row r="70" spans="1:22" x14ac:dyDescent="0.25">
      <c r="A70" s="218">
        <v>44470</v>
      </c>
      <c r="B70" s="29">
        <v>44085931</v>
      </c>
      <c r="C70" s="30">
        <f t="shared" si="110"/>
        <v>151106.4</v>
      </c>
      <c r="D70" s="29">
        <v>708200</v>
      </c>
      <c r="E70" s="30">
        <f t="shared" si="125"/>
        <v>112989</v>
      </c>
      <c r="F70" s="58">
        <f t="shared" si="121"/>
        <v>2.0245809050345485</v>
      </c>
      <c r="G70" s="54">
        <f t="shared" si="111"/>
        <v>2149.9333333333334</v>
      </c>
      <c r="H70" s="54">
        <f t="shared" si="105"/>
        <v>15049.533333333333</v>
      </c>
      <c r="I70" s="54">
        <f t="shared" si="112"/>
        <v>64498</v>
      </c>
      <c r="J70" s="55">
        <f t="shared" si="15"/>
        <v>1569451.3333333335</v>
      </c>
      <c r="K70" s="55"/>
      <c r="L70" s="55"/>
      <c r="M70" s="55">
        <f t="shared" si="119"/>
        <v>345475.88259591983</v>
      </c>
      <c r="N70" s="55">
        <f t="shared" si="120"/>
        <v>1673600.9562985837</v>
      </c>
      <c r="O70" s="158">
        <f t="shared" si="124"/>
        <v>0.69797539939024389</v>
      </c>
      <c r="P70" s="299">
        <v>184850000</v>
      </c>
      <c r="Q70" s="55">
        <f t="shared" si="122"/>
        <v>3742437.8029563632</v>
      </c>
      <c r="R70" s="300">
        <v>0.1</v>
      </c>
      <c r="S70" s="55">
        <f t="shared" si="123"/>
        <v>18485000</v>
      </c>
      <c r="T70" s="55"/>
      <c r="U70" s="55"/>
      <c r="V70" t="s">
        <v>3830</v>
      </c>
    </row>
    <row r="71" spans="1:22" x14ac:dyDescent="0.25">
      <c r="A71" s="218">
        <v>44501</v>
      </c>
      <c r="B71" s="29">
        <v>46091924</v>
      </c>
      <c r="C71" s="30">
        <f t="shared" si="110"/>
        <v>64709.451612903227</v>
      </c>
      <c r="D71" s="29">
        <v>747033</v>
      </c>
      <c r="E71" s="30">
        <f t="shared" si="125"/>
        <v>151822</v>
      </c>
      <c r="F71" s="58">
        <f t="shared" si="121"/>
        <v>1.8887010580986565</v>
      </c>
      <c r="G71" s="54">
        <f t="shared" si="111"/>
        <v>1252.6774193548388</v>
      </c>
      <c r="H71" s="54">
        <f t="shared" si="105"/>
        <v>8768.7419354838712</v>
      </c>
      <c r="I71" s="54">
        <f t="shared" si="112"/>
        <v>38833</v>
      </c>
      <c r="J71" s="55">
        <f t="shared" si="15"/>
        <v>914454.51612903236</v>
      </c>
      <c r="K71" s="55"/>
      <c r="L71" s="55"/>
      <c r="M71" s="55">
        <f t="shared" si="119"/>
        <v>140860.76032580194</v>
      </c>
      <c r="N71" s="55">
        <f t="shared" si="120"/>
        <v>1379848.6544385205</v>
      </c>
      <c r="O71" s="158">
        <f t="shared" si="124"/>
        <v>0.72726196341463412</v>
      </c>
      <c r="P71" s="299">
        <v>192450000</v>
      </c>
      <c r="Q71" s="55">
        <f t="shared" si="122"/>
        <v>3634805.1863108645</v>
      </c>
      <c r="R71" s="300">
        <v>0.1</v>
      </c>
      <c r="S71" s="55">
        <f t="shared" si="123"/>
        <v>19245000</v>
      </c>
      <c r="T71" s="55"/>
      <c r="U71" s="55"/>
    </row>
    <row r="72" spans="1:22" x14ac:dyDescent="0.25">
      <c r="A72" s="218">
        <v>44531</v>
      </c>
      <c r="B72" s="29">
        <v>48690380</v>
      </c>
      <c r="C72" s="30">
        <f t="shared" si="110"/>
        <v>86615.2</v>
      </c>
      <c r="D72" s="29">
        <v>782056</v>
      </c>
      <c r="E72" s="30">
        <f t="shared" si="125"/>
        <v>186845</v>
      </c>
      <c r="F72" s="58">
        <f t="shared" si="121"/>
        <v>1.7739355441988964</v>
      </c>
      <c r="G72" s="54">
        <f t="shared" si="111"/>
        <v>1167.4333333333334</v>
      </c>
      <c r="H72" s="54">
        <f t="shared" si="105"/>
        <v>8172.0333333333338</v>
      </c>
      <c r="I72" s="54">
        <f t="shared" si="112"/>
        <v>35023</v>
      </c>
      <c r="J72" s="55">
        <f t="shared" si="15"/>
        <v>852226.33333333337</v>
      </c>
      <c r="K72" s="55"/>
      <c r="L72" s="55"/>
      <c r="M72" s="55">
        <f t="shared" si="119"/>
        <v>31037.131068412731</v>
      </c>
      <c r="N72" s="55">
        <f t="shared" si="120"/>
        <v>1194738.8480628887</v>
      </c>
      <c r="O72" s="158">
        <f t="shared" si="124"/>
        <v>0.74466579268292687</v>
      </c>
      <c r="P72" s="299">
        <v>195560000</v>
      </c>
      <c r="Q72" s="55">
        <f t="shared" si="122"/>
        <v>3469108.3502353621</v>
      </c>
      <c r="R72" s="300">
        <v>0.1</v>
      </c>
      <c r="S72" s="55">
        <f t="shared" si="123"/>
        <v>19556000</v>
      </c>
      <c r="T72" s="55"/>
      <c r="U72" s="55"/>
    </row>
    <row r="73" spans="1:22" x14ac:dyDescent="0.25">
      <c r="A73" s="218">
        <v>44562</v>
      </c>
      <c r="B73" s="29">
        <v>54743993</v>
      </c>
      <c r="C73" s="30">
        <f t="shared" si="110"/>
        <v>195277.83870967742</v>
      </c>
      <c r="D73" s="29">
        <v>825536</v>
      </c>
      <c r="E73" s="30">
        <f t="shared" si="125"/>
        <v>230325</v>
      </c>
      <c r="F73" s="58">
        <f t="shared" si="121"/>
        <v>1.7910643087930112</v>
      </c>
      <c r="G73" s="54">
        <f t="shared" si="111"/>
        <v>1402.5806451612902</v>
      </c>
      <c r="H73" s="54">
        <f t="shared" si="105"/>
        <v>9818.0645161290322</v>
      </c>
      <c r="I73" s="54">
        <f t="shared" si="112"/>
        <v>43480</v>
      </c>
      <c r="J73" s="55">
        <f t="shared" si="15"/>
        <v>1023883.8709677419</v>
      </c>
      <c r="K73" s="55"/>
      <c r="L73" s="55"/>
      <c r="M73" s="55">
        <f t="shared" si="119"/>
        <v>-232193.45161742435</v>
      </c>
      <c r="N73" s="55">
        <f t="shared" si="120"/>
        <v>942744.734950791</v>
      </c>
      <c r="O73" s="158">
        <f t="shared" si="124"/>
        <v>0.78952436890243904</v>
      </c>
      <c r="P73" s="299">
        <v>204220000</v>
      </c>
      <c r="Q73" s="55">
        <f t="shared" si="122"/>
        <v>3657711.5314170872</v>
      </c>
      <c r="R73" s="300">
        <v>0.1</v>
      </c>
      <c r="S73" s="55">
        <f t="shared" si="123"/>
        <v>20422000</v>
      </c>
      <c r="T73" s="55"/>
      <c r="U73" s="55"/>
    </row>
    <row r="74" spans="1:22" x14ac:dyDescent="0.25">
      <c r="A74" s="218">
        <v>44593</v>
      </c>
      <c r="B74" s="29">
        <v>74943050</v>
      </c>
      <c r="C74" s="30">
        <f t="shared" si="110"/>
        <v>651582.48387096776</v>
      </c>
      <c r="D74" s="29">
        <v>886691</v>
      </c>
      <c r="E74" s="30">
        <f t="shared" si="125"/>
        <v>291480</v>
      </c>
      <c r="F74" s="58">
        <f t="shared" si="121"/>
        <v>1.8210804680513892</v>
      </c>
      <c r="G74" s="54">
        <f t="shared" si="111"/>
        <v>1972.741935483871</v>
      </c>
      <c r="H74" s="54">
        <f t="shared" ref="H74" si="126">G74*7</f>
        <v>13809.193548387097</v>
      </c>
      <c r="I74" s="54">
        <f t="shared" si="112"/>
        <v>61155</v>
      </c>
      <c r="J74" s="55">
        <f t="shared" ref="J74" si="127">(EDATE(A74,24)-A74)*G74</f>
        <v>1440101.6129032257</v>
      </c>
      <c r="K74" s="55"/>
      <c r="L74" s="55"/>
      <c r="M74" s="55"/>
      <c r="N74" s="55">
        <f t="shared" si="120"/>
        <v>466323.16491368524</v>
      </c>
      <c r="O74" s="158">
        <f t="shared" ref="O74" si="128">(B74+P74)/328000000</f>
        <v>0.87193003048780493</v>
      </c>
      <c r="P74" s="29">
        <v>211050000</v>
      </c>
      <c r="Q74" s="55">
        <f t="shared" ref="Q74" si="129">P74*F74/100</f>
        <v>3843390.3278224571</v>
      </c>
      <c r="R74" s="300">
        <v>0.1</v>
      </c>
      <c r="S74" s="55">
        <f t="shared" ref="S74" si="130">P74*R74</f>
        <v>21105000</v>
      </c>
      <c r="T74" s="55"/>
      <c r="U74" s="55"/>
    </row>
    <row r="75" spans="1:22" x14ac:dyDescent="0.25">
      <c r="A75" s="218">
        <v>44621</v>
      </c>
      <c r="B75" s="29">
        <v>79085248</v>
      </c>
      <c r="C75" s="30">
        <f t="shared" si="110"/>
        <v>147935.64285714287</v>
      </c>
      <c r="D75" s="29">
        <v>952579</v>
      </c>
      <c r="E75" s="30">
        <f t="shared" si="125"/>
        <v>357368</v>
      </c>
      <c r="F75" s="58">
        <f t="shared" si="121"/>
        <v>1.7400612337503405</v>
      </c>
      <c r="G75" s="54">
        <f t="shared" si="111"/>
        <v>2353.1428571428573</v>
      </c>
      <c r="H75" s="54">
        <f t="shared" ref="H75" si="131">G75*7</f>
        <v>16472</v>
      </c>
      <c r="I75" s="54">
        <f t="shared" si="112"/>
        <v>65888</v>
      </c>
      <c r="J75" s="55">
        <f t="shared" ref="J75" si="132">(EDATE(A75,24)-A75)*G75</f>
        <v>1720147.4285714286</v>
      </c>
      <c r="K75" s="55"/>
      <c r="L75" s="55"/>
      <c r="M75" s="55"/>
      <c r="N75" s="55">
        <f t="shared" si="120"/>
        <v>308247.53220701317</v>
      </c>
      <c r="O75" s="158">
        <f t="shared" ref="O75" si="133">(B75+P75)/328000000</f>
        <v>0.8959916097560976</v>
      </c>
      <c r="P75" s="29">
        <v>214800000</v>
      </c>
      <c r="Q75" s="55">
        <f t="shared" ref="Q75" si="134">P75*F75/100</f>
        <v>3737651.5300957318</v>
      </c>
      <c r="R75" s="300">
        <v>0.1</v>
      </c>
      <c r="S75" s="55">
        <f t="shared" ref="S75" si="135">P75*R75</f>
        <v>21480000</v>
      </c>
      <c r="T75" s="55"/>
      <c r="U75" s="55"/>
    </row>
    <row r="76" spans="1:22" x14ac:dyDescent="0.25">
      <c r="A76" s="218">
        <v>44652</v>
      </c>
      <c r="B76" s="29">
        <v>80104051</v>
      </c>
      <c r="C76" s="30">
        <f t="shared" si="110"/>
        <v>32864.612903225803</v>
      </c>
      <c r="D76" s="29">
        <v>980627</v>
      </c>
      <c r="E76" s="30">
        <f t="shared" si="125"/>
        <v>385416</v>
      </c>
      <c r="F76" s="58">
        <f t="shared" si="121"/>
        <v>1.3084962514869625</v>
      </c>
      <c r="G76" s="54">
        <f t="shared" si="111"/>
        <v>904.77419354838707</v>
      </c>
      <c r="H76" s="54">
        <f t="shared" si="105"/>
        <v>6333.4193548387093</v>
      </c>
      <c r="I76" s="54">
        <f t="shared" si="112"/>
        <v>28048</v>
      </c>
      <c r="J76" s="55">
        <f t="shared" si="15"/>
        <v>661389.93548387091</v>
      </c>
      <c r="K76" s="55"/>
      <c r="L76" s="55"/>
      <c r="M76" s="55"/>
      <c r="N76" s="55">
        <f t="shared" si="120"/>
        <v>181304.57327294527</v>
      </c>
      <c r="O76" s="158">
        <f t="shared" si="124"/>
        <v>0.90775625304878049</v>
      </c>
      <c r="P76" s="29">
        <v>217640000</v>
      </c>
      <c r="Q76" s="55">
        <f t="shared" si="122"/>
        <v>2847811.2417362249</v>
      </c>
      <c r="R76" s="300">
        <v>0.1</v>
      </c>
      <c r="S76" s="55">
        <f t="shared" si="123"/>
        <v>21764000</v>
      </c>
      <c r="T76" s="55"/>
      <c r="U76" s="55"/>
    </row>
    <row r="77" spans="1:22" x14ac:dyDescent="0.25">
      <c r="A77" s="218">
        <v>44682</v>
      </c>
      <c r="B77" s="169">
        <v>81365218</v>
      </c>
      <c r="C77" s="30">
        <f t="shared" ref="C77" si="136">(B77-B76)/(A77-A76)</f>
        <v>42038.9</v>
      </c>
      <c r="D77" s="169">
        <v>993733</v>
      </c>
      <c r="E77" s="30">
        <f t="shared" ref="E77:E86" si="137">E76+D77-D76</f>
        <v>398522</v>
      </c>
      <c r="F77" s="58">
        <f t="shared" si="121"/>
        <v>1.2565339619343421</v>
      </c>
      <c r="G77" s="54">
        <f t="shared" ref="G77" si="138">(D77-D76)/(A77-A76)</f>
        <v>436.86666666666667</v>
      </c>
      <c r="H77" s="54">
        <f t="shared" ref="H77" si="139">G77*7</f>
        <v>3058.0666666666666</v>
      </c>
      <c r="I77" s="54">
        <f t="shared" ref="I77" si="140">D77-D76</f>
        <v>13106</v>
      </c>
      <c r="J77" s="55">
        <f t="shared" ref="J77" si="141">(EDATE(A77,24)-A77)*G77</f>
        <v>319349.53333333333</v>
      </c>
      <c r="K77" s="55"/>
      <c r="L77" s="55"/>
      <c r="M77" s="55"/>
      <c r="N77" s="55">
        <f t="shared" ref="N77" si="142">(328000000*0.95-P77-B77)*(F77/100)</f>
        <v>131996.15345716561</v>
      </c>
      <c r="O77" s="158">
        <f t="shared" ref="O77" si="143">(B77+P77)/328000000</f>
        <v>0.91797322560975614</v>
      </c>
      <c r="P77" s="169">
        <v>219730000</v>
      </c>
      <c r="Q77" s="55">
        <f t="shared" ref="Q77" si="144">P77*F77/100</f>
        <v>2760982.0745583298</v>
      </c>
      <c r="R77" s="300">
        <v>0.1</v>
      </c>
      <c r="S77" s="55">
        <f t="shared" ref="S77" si="145">P77*R77</f>
        <v>21973000</v>
      </c>
      <c r="T77" s="55"/>
      <c r="U77" s="55"/>
    </row>
    <row r="78" spans="1:22" x14ac:dyDescent="0.25">
      <c r="A78" s="218">
        <v>44713</v>
      </c>
      <c r="B78" s="169">
        <v>84445096</v>
      </c>
      <c r="C78" s="30">
        <f t="shared" ref="C78" si="146">(B78-B77)/(A78-A77)</f>
        <v>99350.903225806454</v>
      </c>
      <c r="D78" s="169">
        <v>1007704</v>
      </c>
      <c r="E78" s="30">
        <f t="shared" si="137"/>
        <v>412493</v>
      </c>
      <c r="F78" s="58">
        <f t="shared" si="121"/>
        <v>1.2579938060810432</v>
      </c>
      <c r="G78" s="54">
        <f t="shared" ref="G78:G86" si="147">(D78-D77)/(A78-A77)</f>
        <v>450.67741935483872</v>
      </c>
      <c r="H78" s="54">
        <f t="shared" ref="H78" si="148">G78*7</f>
        <v>3154.7419354838712</v>
      </c>
      <c r="I78" s="54">
        <f t="shared" ref="I78:I86" si="149">D78-D77</f>
        <v>13971</v>
      </c>
      <c r="J78" s="55">
        <f t="shared" ref="J78" si="150">(EDATE(A78,24)-A78)*G78</f>
        <v>329445.19354838709</v>
      </c>
      <c r="K78" s="55"/>
      <c r="L78" s="55"/>
      <c r="M78" s="55"/>
      <c r="N78" s="55">
        <f t="shared" ref="N78" si="151">(328000000*0.95-P78-B78)*(F78/100)</f>
        <v>73025.332768950713</v>
      </c>
      <c r="O78" s="158">
        <f t="shared" ref="O78" si="152">(B78+P78)/328000000</f>
        <v>0.93230212195121953</v>
      </c>
      <c r="P78" s="169">
        <v>221350000</v>
      </c>
      <c r="Q78" s="55">
        <f t="shared" ref="Q78" si="153">P78*F78/100</f>
        <v>2784569.2897603894</v>
      </c>
      <c r="R78" s="300">
        <v>0.1</v>
      </c>
      <c r="S78" s="55">
        <f t="shared" ref="S78" si="154">P78*R78</f>
        <v>22135000</v>
      </c>
      <c r="T78" s="55"/>
      <c r="U78" s="55"/>
    </row>
    <row r="79" spans="1:22" x14ac:dyDescent="0.25">
      <c r="A79" s="218">
        <v>44743</v>
      </c>
      <c r="B79" s="169">
        <v>87838623</v>
      </c>
      <c r="C79" s="30">
        <f t="shared" ref="C79:C80" si="155">(B79-B78)/(A79-A78)</f>
        <v>113117.56666666667</v>
      </c>
      <c r="D79" s="169">
        <v>1017846</v>
      </c>
      <c r="E79" s="30">
        <f t="shared" si="137"/>
        <v>422635</v>
      </c>
      <c r="F79" s="58">
        <f t="shared" si="121"/>
        <v>1.2509595930782118</v>
      </c>
      <c r="G79" s="54">
        <f t="shared" si="147"/>
        <v>338.06666666666666</v>
      </c>
      <c r="H79" s="54">
        <f t="shared" ref="H79:H80" si="156">G79*7</f>
        <v>2366.4666666666667</v>
      </c>
      <c r="I79" s="54">
        <f t="shared" si="149"/>
        <v>10142</v>
      </c>
      <c r="J79" s="55">
        <f t="shared" ref="J79:J80" si="157">(EDATE(A79,24)-A79)*G79</f>
        <v>247126.73333333334</v>
      </c>
      <c r="K79" s="55"/>
      <c r="L79" s="55"/>
      <c r="M79" s="55"/>
      <c r="N79" s="55">
        <f t="shared" ref="N79:N80" si="158">(328000000*0.95-P79-B79)*(F79/100)</f>
        <v>18656.523650462044</v>
      </c>
      <c r="O79" s="158">
        <f t="shared" ref="O79:O80" si="159">(B79+P79)/328000000</f>
        <v>0.94545311890243899</v>
      </c>
      <c r="P79" s="169">
        <v>222270000</v>
      </c>
      <c r="Q79" s="55">
        <f t="shared" ref="Q79:Q80" si="160">P79*F79/100</f>
        <v>2780507.8875349415</v>
      </c>
      <c r="R79" s="300">
        <v>0.1</v>
      </c>
      <c r="S79" s="55">
        <f t="shared" ref="S79:S80" si="161">P79*R79</f>
        <v>22227000</v>
      </c>
      <c r="T79" s="55"/>
      <c r="U79" s="55"/>
    </row>
    <row r="80" spans="1:22" x14ac:dyDescent="0.25">
      <c r="A80" s="218">
        <v>44779</v>
      </c>
      <c r="B80" s="169">
        <v>92185382</v>
      </c>
      <c r="C80" s="30">
        <f t="shared" si="155"/>
        <v>120743.30555555556</v>
      </c>
      <c r="D80" s="169">
        <v>1034124</v>
      </c>
      <c r="E80" s="30">
        <f t="shared" si="137"/>
        <v>438913</v>
      </c>
      <c r="F80" s="58">
        <f t="shared" si="121"/>
        <v>1.2246110774745285</v>
      </c>
      <c r="G80" s="54">
        <f t="shared" si="147"/>
        <v>452.16666666666669</v>
      </c>
      <c r="H80" s="54">
        <f t="shared" si="156"/>
        <v>3165.166666666667</v>
      </c>
      <c r="I80" s="54">
        <f t="shared" si="149"/>
        <v>16278</v>
      </c>
      <c r="J80" s="55">
        <f t="shared" si="157"/>
        <v>330533.83333333337</v>
      </c>
      <c r="K80" s="55"/>
      <c r="L80" s="55"/>
      <c r="M80" s="55"/>
      <c r="N80" s="55">
        <f t="shared" si="158"/>
        <v>-44274.368465020154</v>
      </c>
      <c r="O80" s="158">
        <f t="shared" si="159"/>
        <v>0.96102250609756101</v>
      </c>
      <c r="P80" s="169">
        <v>223030000</v>
      </c>
      <c r="Q80" s="55">
        <f t="shared" si="160"/>
        <v>2731250.0860914411</v>
      </c>
      <c r="R80" s="300">
        <v>0.1</v>
      </c>
      <c r="S80" s="55">
        <f t="shared" si="161"/>
        <v>22303000</v>
      </c>
      <c r="T80" s="55"/>
      <c r="U80" s="55"/>
    </row>
    <row r="81" spans="1:25" x14ac:dyDescent="0.25">
      <c r="A81" s="218">
        <v>44805</v>
      </c>
      <c r="B81" s="169">
        <v>94532156</v>
      </c>
      <c r="C81" s="30">
        <f t="shared" ref="C81:C86" si="162">(B81-B80)/(A81-A80)</f>
        <v>90260.538461538468</v>
      </c>
      <c r="D81" s="169">
        <v>1046244</v>
      </c>
      <c r="E81" s="30">
        <f t="shared" si="137"/>
        <v>451033</v>
      </c>
      <c r="F81" s="58">
        <f t="shared" si="121"/>
        <v>1.1910979068968328</v>
      </c>
      <c r="G81" s="54">
        <f t="shared" si="147"/>
        <v>466.15384615384613</v>
      </c>
      <c r="H81" s="54">
        <f t="shared" ref="H81:H83" si="163">G81*7</f>
        <v>3263.0769230769229</v>
      </c>
      <c r="I81" s="54">
        <f t="shared" si="149"/>
        <v>12120</v>
      </c>
      <c r="J81" s="55">
        <f t="shared" ref="J81:J83" si="164">(EDATE(A81,24)-A81)*G81</f>
        <v>340758.4615384615</v>
      </c>
      <c r="K81" s="55"/>
      <c r="L81" s="55"/>
      <c r="M81" s="55"/>
      <c r="N81" s="55">
        <f t="shared" ref="N81:N83" si="165">(328000000*0.95-P81-B81)*(F81/100)</f>
        <v>-81496.776902616053</v>
      </c>
      <c r="O81" s="158">
        <f t="shared" ref="O81:O83" si="166">(B81+P81)/328000000</f>
        <v>0.97086023170731706</v>
      </c>
      <c r="P81" s="169">
        <v>223910000</v>
      </c>
      <c r="Q81" s="55">
        <f t="shared" ref="Q81:Q83" si="167">P81*F81/100</f>
        <v>2666987.3233326986</v>
      </c>
      <c r="R81" s="300">
        <v>0.1</v>
      </c>
      <c r="S81" s="55">
        <f t="shared" ref="S81:S83" si="168">P81*R81</f>
        <v>22391000</v>
      </c>
      <c r="T81" s="55"/>
      <c r="U81" s="55"/>
    </row>
    <row r="82" spans="1:25" x14ac:dyDescent="0.25">
      <c r="A82" s="218">
        <v>44835</v>
      </c>
      <c r="B82" s="169">
        <v>96392543</v>
      </c>
      <c r="C82" s="30">
        <f t="shared" si="162"/>
        <v>62012.9</v>
      </c>
      <c r="D82" s="169">
        <v>1059605</v>
      </c>
      <c r="E82" s="30">
        <f t="shared" si="137"/>
        <v>464394</v>
      </c>
      <c r="F82" s="58">
        <f t="shared" si="121"/>
        <v>1.149428441919349</v>
      </c>
      <c r="G82" s="54">
        <f t="shared" si="147"/>
        <v>445.36666666666667</v>
      </c>
      <c r="H82" s="54">
        <f t="shared" si="163"/>
        <v>3117.5666666666666</v>
      </c>
      <c r="I82" s="54">
        <f t="shared" si="149"/>
        <v>13361</v>
      </c>
      <c r="J82" s="55">
        <f t="shared" si="164"/>
        <v>325563.03333333333</v>
      </c>
      <c r="K82" s="55"/>
      <c r="L82" s="55"/>
      <c r="M82" s="55"/>
      <c r="N82" s="55">
        <f t="shared" si="165"/>
        <v>-115823.97304694144</v>
      </c>
      <c r="O82" s="158">
        <f t="shared" si="166"/>
        <v>0.98072151829268295</v>
      </c>
      <c r="P82" s="169">
        <v>225284115</v>
      </c>
      <c r="Q82" s="55">
        <f t="shared" si="167"/>
        <v>2589479.6929362942</v>
      </c>
      <c r="R82" s="300">
        <v>0.1</v>
      </c>
      <c r="S82" s="55">
        <f t="shared" si="168"/>
        <v>22528411.5</v>
      </c>
      <c r="T82" s="55"/>
      <c r="U82" s="55"/>
    </row>
    <row r="83" spans="1:25" x14ac:dyDescent="0.25">
      <c r="A83" s="218">
        <v>44866</v>
      </c>
      <c r="B83" s="169">
        <v>97618028</v>
      </c>
      <c r="C83" s="30">
        <f t="shared" si="162"/>
        <v>39531.774193548386</v>
      </c>
      <c r="D83" s="169">
        <v>1071606</v>
      </c>
      <c r="E83" s="30">
        <f t="shared" si="137"/>
        <v>476395</v>
      </c>
      <c r="F83" s="58">
        <f t="shared" si="121"/>
        <v>1.1335888710715536</v>
      </c>
      <c r="G83" s="54">
        <f t="shared" si="147"/>
        <v>387.12903225806451</v>
      </c>
      <c r="H83" s="54">
        <f t="shared" si="163"/>
        <v>2709.9032258064517</v>
      </c>
      <c r="I83" s="54">
        <f t="shared" si="149"/>
        <v>12001</v>
      </c>
      <c r="J83" s="55">
        <f t="shared" si="164"/>
        <v>282991.32258064515</v>
      </c>
      <c r="K83" s="55"/>
      <c r="L83" s="55"/>
      <c r="M83" s="55"/>
      <c r="N83" s="55">
        <f t="shared" si="165"/>
        <v>-146820.78687732457</v>
      </c>
      <c r="O83" s="158">
        <f t="shared" si="166"/>
        <v>0.98948736280487803</v>
      </c>
      <c r="P83" s="169">
        <v>226933827</v>
      </c>
      <c r="Q83" s="55">
        <f t="shared" si="167"/>
        <v>2572496.6075687725</v>
      </c>
      <c r="R83" s="300">
        <v>0.1</v>
      </c>
      <c r="S83" s="55">
        <f t="shared" si="168"/>
        <v>22693382.700000003</v>
      </c>
      <c r="T83" s="55"/>
      <c r="U83" s="55"/>
    </row>
    <row r="84" spans="1:25" x14ac:dyDescent="0.25">
      <c r="A84" s="218">
        <v>44896</v>
      </c>
      <c r="B84" s="169">
        <v>98790043</v>
      </c>
      <c r="C84" s="30">
        <f t="shared" si="162"/>
        <v>39067.166666666664</v>
      </c>
      <c r="D84" s="169">
        <v>1080464</v>
      </c>
      <c r="E84" s="30">
        <f t="shared" si="137"/>
        <v>485253</v>
      </c>
      <c r="F84" s="58">
        <f t="shared" si="121"/>
        <v>1.1208999849708292</v>
      </c>
      <c r="G84" s="54">
        <f t="shared" si="147"/>
        <v>295.26666666666665</v>
      </c>
      <c r="H84" s="54">
        <f t="shared" ref="H84" si="169">G84*7</f>
        <v>2066.8666666666668</v>
      </c>
      <c r="I84" s="54">
        <f t="shared" si="149"/>
        <v>8858</v>
      </c>
      <c r="J84" s="55">
        <f t="shared" ref="J84" si="170">(EDATE(A84,24)-A84)*G84</f>
        <v>215839.93333333332</v>
      </c>
      <c r="K84" s="55"/>
      <c r="L84" s="55"/>
      <c r="M84" s="55"/>
      <c r="N84" s="55">
        <f t="shared" ref="N84" si="171">(328000000*0.95-P84-B84)*(F84/100)</f>
        <v>-176806.07826736142</v>
      </c>
      <c r="O84" s="158">
        <f t="shared" ref="O84" si="172">(B84+P84)/328000000</f>
        <v>0.99809018902439028</v>
      </c>
      <c r="P84" s="169">
        <f>P83-P82+P83</f>
        <v>228583539</v>
      </c>
      <c r="Q84" s="55">
        <f t="shared" ref="Q84" si="173">P84*F84/100</f>
        <v>2562192.8542967895</v>
      </c>
      <c r="R84" s="300">
        <v>0.1</v>
      </c>
      <c r="S84" s="55">
        <f t="shared" ref="S84" si="174">P84*R84</f>
        <v>22858353.900000002</v>
      </c>
      <c r="T84" s="55"/>
      <c r="U84" s="55"/>
    </row>
    <row r="85" spans="1:25" s="371" customFormat="1" x14ac:dyDescent="0.25">
      <c r="A85" s="364">
        <v>44927</v>
      </c>
      <c r="B85" s="365">
        <v>100843810</v>
      </c>
      <c r="C85" s="30">
        <f t="shared" si="162"/>
        <v>66250.548387096773</v>
      </c>
      <c r="D85" s="365">
        <v>1093028</v>
      </c>
      <c r="E85" s="30">
        <f t="shared" si="137"/>
        <v>497817</v>
      </c>
      <c r="F85" s="58">
        <f t="shared" si="121"/>
        <v>1.1196989146308098</v>
      </c>
      <c r="G85" s="54">
        <f t="shared" si="147"/>
        <v>405.29032258064518</v>
      </c>
      <c r="H85" s="366">
        <f t="shared" ref="H85" si="175">G85*7</f>
        <v>2837.0322580645161</v>
      </c>
      <c r="I85" s="54">
        <f t="shared" si="149"/>
        <v>12564</v>
      </c>
      <c r="J85" s="367">
        <f t="shared" ref="J85" si="176">(EDATE(A85,24)-A85)*G85</f>
        <v>296267.22580645164</v>
      </c>
      <c r="K85" s="367"/>
      <c r="L85" s="367"/>
      <c r="M85" s="367"/>
      <c r="N85" s="367">
        <f t="shared" ref="N85" si="177">(328000000*0.95-P85-B85)*(F85/100)</f>
        <v>-218084.44061898076</v>
      </c>
      <c r="O85" s="368">
        <f t="shared" ref="O85" si="178">(B85+P85)/328000000</f>
        <v>1.0093812835365854</v>
      </c>
      <c r="P85" s="365">
        <f>P84-P83+P84</f>
        <v>230233251</v>
      </c>
      <c r="Q85" s="367">
        <f t="shared" ref="Q85" si="179">P85*F85/100</f>
        <v>2577919.2125662281</v>
      </c>
      <c r="R85" s="369">
        <v>0.1</v>
      </c>
      <c r="S85" s="367">
        <f t="shared" ref="S85" si="180">P85*R85</f>
        <v>23023325.100000001</v>
      </c>
      <c r="T85" s="367"/>
      <c r="U85" s="367"/>
    </row>
    <row r="86" spans="1:25" x14ac:dyDescent="0.25">
      <c r="A86" s="218">
        <v>44958</v>
      </c>
      <c r="B86" s="168">
        <f t="shared" ref="B86" si="181">B85-B84+B85</f>
        <v>102897577</v>
      </c>
      <c r="C86" s="30">
        <f t="shared" si="162"/>
        <v>66250.548387096773</v>
      </c>
      <c r="D86" s="168">
        <f>D85-D84+D85</f>
        <v>1105592</v>
      </c>
      <c r="E86" s="30">
        <f t="shared" si="137"/>
        <v>510381</v>
      </c>
      <c r="F86" s="58">
        <f t="shared" si="121"/>
        <v>1.1191330284166392</v>
      </c>
      <c r="G86" s="54">
        <f t="shared" si="147"/>
        <v>405.29032258064518</v>
      </c>
      <c r="H86" s="166">
        <f t="shared" ref="H86" si="182">G86*7</f>
        <v>2837.0322580645161</v>
      </c>
      <c r="I86" s="54">
        <f t="shared" si="149"/>
        <v>12564</v>
      </c>
      <c r="J86" s="167">
        <f t="shared" ref="J86" si="183">(EDATE(A86,24)-A86)*G86</f>
        <v>296267.22580645164</v>
      </c>
      <c r="K86" s="55"/>
      <c r="L86" s="55"/>
      <c r="M86" s="55"/>
      <c r="N86" s="55">
        <f t="shared" ref="N86" si="184">(328000000*0.95-P86-B86)*(F86/100)</f>
        <v>-259421.07930533041</v>
      </c>
      <c r="O86" s="158">
        <f t="shared" ref="O86" si="185">(B86+P86)/328000000</f>
        <v>1.0206723780487805</v>
      </c>
      <c r="P86" s="168">
        <f>P85-P84+P85</f>
        <v>231882963</v>
      </c>
      <c r="Q86" s="55">
        <f t="shared" ref="Q86" si="186">P86*F86/100</f>
        <v>2595078.8262041346</v>
      </c>
      <c r="R86" s="300">
        <v>0.1</v>
      </c>
      <c r="S86" s="55">
        <f t="shared" ref="S86" si="187">P86*R86</f>
        <v>23188296.300000001</v>
      </c>
      <c r="T86" s="55"/>
      <c r="U86" s="55"/>
    </row>
    <row r="87" spans="1:25" x14ac:dyDescent="0.25">
      <c r="D87" s="33"/>
      <c r="E87" s="33"/>
      <c r="F87" s="33"/>
      <c r="G87" s="33"/>
    </row>
    <row r="88" spans="1:25" x14ac:dyDescent="0.25">
      <c r="A88" t="s">
        <v>1269</v>
      </c>
      <c r="D88" s="33"/>
      <c r="E88" s="33"/>
      <c r="F88" s="33"/>
      <c r="G88" s="33"/>
      <c r="J88">
        <f>0.3/900</f>
        <v>3.3333333333333332E-4</v>
      </c>
      <c r="K88" s="335">
        <f>J88/100</f>
        <v>3.3333333333333333E-6</v>
      </c>
      <c r="L88" s="55">
        <f>1/K88</f>
        <v>300000</v>
      </c>
      <c r="M88" s="336">
        <f>1-K88</f>
        <v>0.99999666666666664</v>
      </c>
      <c r="N88" s="336"/>
    </row>
    <row r="89" spans="1:25" x14ac:dyDescent="0.25">
      <c r="A89" t="s">
        <v>1270</v>
      </c>
      <c r="D89" s="33"/>
      <c r="E89" s="33"/>
      <c r="F89" s="33"/>
      <c r="G89" s="33"/>
      <c r="K89">
        <f>K88*16</f>
        <v>5.3333333333333333E-5</v>
      </c>
      <c r="L89">
        <f>L88/16</f>
        <v>18750</v>
      </c>
      <c r="M89" s="336">
        <f>1-K89</f>
        <v>0.99994666666666665</v>
      </c>
      <c r="N89" s="336"/>
    </row>
    <row r="90" spans="1:25" x14ac:dyDescent="0.25">
      <c r="B90" s="33" t="s">
        <v>2463</v>
      </c>
      <c r="C90" s="33" t="s">
        <v>2464</v>
      </c>
      <c r="D90" s="33" t="s">
        <v>2465</v>
      </c>
      <c r="E90" s="33"/>
      <c r="F90" s="33" t="s">
        <v>2460</v>
      </c>
      <c r="G90" s="33" t="s">
        <v>2461</v>
      </c>
      <c r="H90" s="33" t="s">
        <v>2464</v>
      </c>
      <c r="I90" s="33" t="s">
        <v>2465</v>
      </c>
      <c r="J90" s="33" t="s">
        <v>2462</v>
      </c>
    </row>
    <row r="91" spans="1:25" x14ac:dyDescent="0.25">
      <c r="A91" s="33" t="s">
        <v>1271</v>
      </c>
      <c r="B91" s="30">
        <f>328000000*0.5</f>
        <v>164000000</v>
      </c>
      <c r="C91" s="33">
        <v>3.5000000000000003E-2</v>
      </c>
      <c r="D91" s="30">
        <f t="shared" ref="D91:D96" si="188">B91*C91</f>
        <v>5740000.0000000009</v>
      </c>
      <c r="E91" s="30"/>
      <c r="F91" s="30">
        <v>54610000</v>
      </c>
      <c r="G91" s="30">
        <f>B91-F91</f>
        <v>109390000</v>
      </c>
      <c r="H91" s="33">
        <v>3.5000000000000003E-2</v>
      </c>
      <c r="I91" s="30">
        <f>G91*H91</f>
        <v>3828650.0000000005</v>
      </c>
      <c r="J91" s="30">
        <f>D91-I91</f>
        <v>1911350.0000000005</v>
      </c>
      <c r="L91" t="s">
        <v>1272</v>
      </c>
      <c r="V91" s="28" t="s">
        <v>1545</v>
      </c>
      <c r="W91" s="28" t="s">
        <v>1546</v>
      </c>
      <c r="X91" s="28"/>
      <c r="Y91" s="28"/>
    </row>
    <row r="92" spans="1:25" x14ac:dyDescent="0.25">
      <c r="A92" s="33" t="s">
        <v>1271</v>
      </c>
      <c r="B92" s="30">
        <f>328000000*0.6</f>
        <v>196800000</v>
      </c>
      <c r="C92" s="33">
        <v>3.5000000000000003E-2</v>
      </c>
      <c r="D92" s="30">
        <f t="shared" si="188"/>
        <v>6888000.0000000009</v>
      </c>
      <c r="E92" s="30"/>
      <c r="F92" s="30">
        <v>54610000</v>
      </c>
      <c r="G92" s="30">
        <f t="shared" ref="G92:G96" si="189">B92-F92</f>
        <v>142190000</v>
      </c>
      <c r="H92" s="33">
        <v>3.5000000000000003E-2</v>
      </c>
      <c r="I92" s="30">
        <f t="shared" ref="I92:I96" si="190">G92*H92</f>
        <v>4976650.0000000009</v>
      </c>
      <c r="J92" s="30">
        <f t="shared" ref="J92:J96" si="191">D92-I92</f>
        <v>1911350</v>
      </c>
      <c r="L92" t="s">
        <v>1273</v>
      </c>
      <c r="V92" t="s">
        <v>1547</v>
      </c>
      <c r="W92" s="30">
        <v>4435</v>
      </c>
      <c r="X92">
        <v>1</v>
      </c>
      <c r="Y92" s="30">
        <f>W92*X92</f>
        <v>4435</v>
      </c>
    </row>
    <row r="93" spans="1:25" x14ac:dyDescent="0.25">
      <c r="A93" s="33" t="s">
        <v>1271</v>
      </c>
      <c r="B93" s="30">
        <f>328000000*0.75</f>
        <v>246000000</v>
      </c>
      <c r="C93" s="33">
        <v>3.5000000000000003E-2</v>
      </c>
      <c r="D93" s="30">
        <f t="shared" si="188"/>
        <v>8610000</v>
      </c>
      <c r="E93" s="30"/>
      <c r="F93" s="30">
        <v>54610000</v>
      </c>
      <c r="G93" s="30">
        <f t="shared" si="189"/>
        <v>191390000</v>
      </c>
      <c r="H93" s="33">
        <v>3.5000000000000003E-2</v>
      </c>
      <c r="I93" s="30">
        <f t="shared" si="190"/>
        <v>6698650.0000000009</v>
      </c>
      <c r="J93" s="30">
        <f t="shared" si="191"/>
        <v>1911349.9999999991</v>
      </c>
      <c r="L93" t="s">
        <v>1274</v>
      </c>
      <c r="V93" t="s">
        <v>1549</v>
      </c>
      <c r="W93" s="30">
        <v>2260</v>
      </c>
      <c r="X93">
        <v>1</v>
      </c>
      <c r="Y93" s="30">
        <f t="shared" ref="Y93:Y98" si="192">W93*X93</f>
        <v>2260</v>
      </c>
    </row>
    <row r="94" spans="1:25" x14ac:dyDescent="0.25">
      <c r="A94" s="33" t="s">
        <v>1271</v>
      </c>
      <c r="B94" s="30">
        <f>328000000*0.5</f>
        <v>164000000</v>
      </c>
      <c r="C94" s="33">
        <v>0.02</v>
      </c>
      <c r="D94" s="30">
        <f t="shared" si="188"/>
        <v>3280000</v>
      </c>
      <c r="E94" s="30"/>
      <c r="F94" s="30">
        <v>54610000</v>
      </c>
      <c r="G94" s="30">
        <f t="shared" si="189"/>
        <v>109390000</v>
      </c>
      <c r="H94" s="33">
        <v>0.02</v>
      </c>
      <c r="I94" s="30">
        <f t="shared" si="190"/>
        <v>2187800</v>
      </c>
      <c r="J94" s="30">
        <f t="shared" si="191"/>
        <v>1092200</v>
      </c>
      <c r="L94" t="s">
        <v>1272</v>
      </c>
      <c r="V94" t="s">
        <v>1551</v>
      </c>
      <c r="W94" s="30">
        <v>1000</v>
      </c>
      <c r="X94">
        <v>1</v>
      </c>
      <c r="Y94" s="30">
        <f t="shared" si="192"/>
        <v>1000</v>
      </c>
    </row>
    <row r="95" spans="1:25" x14ac:dyDescent="0.25">
      <c r="A95" s="33" t="s">
        <v>1271</v>
      </c>
      <c r="B95" s="30">
        <f>328000000*0.6</f>
        <v>196800000</v>
      </c>
      <c r="C95" s="33">
        <v>0.02</v>
      </c>
      <c r="D95" s="30">
        <f t="shared" si="188"/>
        <v>3936000</v>
      </c>
      <c r="E95" s="30"/>
      <c r="F95" s="30">
        <v>54610000</v>
      </c>
      <c r="G95" s="30">
        <f t="shared" si="189"/>
        <v>142190000</v>
      </c>
      <c r="H95" s="33">
        <v>0.02</v>
      </c>
      <c r="I95" s="30">
        <f t="shared" si="190"/>
        <v>2843800</v>
      </c>
      <c r="J95" s="30">
        <f t="shared" si="191"/>
        <v>1092200</v>
      </c>
      <c r="L95" t="s">
        <v>1273</v>
      </c>
      <c r="V95" t="s">
        <v>1553</v>
      </c>
      <c r="W95" s="30">
        <v>1733</v>
      </c>
      <c r="X95">
        <v>1</v>
      </c>
      <c r="Y95" s="30">
        <f t="shared" si="192"/>
        <v>1733</v>
      </c>
    </row>
    <row r="96" spans="1:25" x14ac:dyDescent="0.25">
      <c r="A96" s="33" t="s">
        <v>1271</v>
      </c>
      <c r="B96" s="30">
        <f>328000000*0.75</f>
        <v>246000000</v>
      </c>
      <c r="C96" s="33">
        <v>0.02</v>
      </c>
      <c r="D96" s="30">
        <f t="shared" si="188"/>
        <v>4920000</v>
      </c>
      <c r="E96" s="30"/>
      <c r="F96" s="30">
        <v>54610000</v>
      </c>
      <c r="G96" s="30">
        <f t="shared" si="189"/>
        <v>191390000</v>
      </c>
      <c r="H96" s="33">
        <v>0.02</v>
      </c>
      <c r="I96" s="30">
        <f t="shared" si="190"/>
        <v>3827800</v>
      </c>
      <c r="J96" s="30">
        <f t="shared" si="191"/>
        <v>1092200</v>
      </c>
      <c r="L96" t="s">
        <v>1274</v>
      </c>
      <c r="V96" t="s">
        <v>1555</v>
      </c>
      <c r="W96" s="30">
        <v>140414</v>
      </c>
      <c r="Y96" s="30">
        <f t="shared" si="192"/>
        <v>0</v>
      </c>
    </row>
    <row r="97" spans="1:25" x14ac:dyDescent="0.25">
      <c r="A97" s="33" t="s">
        <v>1275</v>
      </c>
      <c r="B97" s="33" t="s">
        <v>1275</v>
      </c>
      <c r="C97" s="33" t="s">
        <v>1275</v>
      </c>
      <c r="D97" s="33" t="s">
        <v>1275</v>
      </c>
      <c r="E97" s="33"/>
      <c r="F97" s="33"/>
      <c r="G97" s="33"/>
      <c r="L97" t="s">
        <v>1276</v>
      </c>
      <c r="V97" t="s">
        <v>1557</v>
      </c>
      <c r="W97" s="30">
        <v>74524</v>
      </c>
      <c r="Y97" s="30">
        <f t="shared" si="192"/>
        <v>0</v>
      </c>
    </row>
    <row r="98" spans="1:25" x14ac:dyDescent="0.25">
      <c r="V98" t="s">
        <v>1558</v>
      </c>
      <c r="W98">
        <v>385</v>
      </c>
      <c r="X98">
        <v>1</v>
      </c>
      <c r="Y98" s="30">
        <f t="shared" si="192"/>
        <v>385</v>
      </c>
    </row>
    <row r="99" spans="1:25" x14ac:dyDescent="0.25">
      <c r="A99" s="57">
        <v>3.0200000000000001E-2</v>
      </c>
      <c r="B99" s="57">
        <v>3.5000000000000003E-2</v>
      </c>
      <c r="C99" s="57">
        <f>1-(A99/B99)</f>
        <v>0.13714285714285723</v>
      </c>
      <c r="D99" t="s">
        <v>1282</v>
      </c>
      <c r="Y99" s="30"/>
    </row>
    <row r="100" spans="1:25" x14ac:dyDescent="0.25">
      <c r="A100" s="57">
        <v>0.12</v>
      </c>
      <c r="B100" s="57">
        <v>0.21</v>
      </c>
      <c r="C100" s="57">
        <f>B100</f>
        <v>0.21</v>
      </c>
      <c r="D100" t="s">
        <v>1283</v>
      </c>
      <c r="V100" t="s">
        <v>1548</v>
      </c>
      <c r="W100" s="30">
        <v>53402</v>
      </c>
      <c r="X100">
        <v>1</v>
      </c>
      <c r="Y100" s="30">
        <f t="shared" ref="Y100:Y104" si="193">W100*X100</f>
        <v>53402</v>
      </c>
    </row>
    <row r="101" spans="1:25" x14ac:dyDescent="0.25">
      <c r="C101" s="57">
        <f>SUM(C99:C100)</f>
        <v>0.3471428571428572</v>
      </c>
      <c r="V101" t="s">
        <v>1550</v>
      </c>
      <c r="W101" s="30">
        <v>291557</v>
      </c>
      <c r="Y101" s="30">
        <f t="shared" si="193"/>
        <v>0</v>
      </c>
    </row>
    <row r="102" spans="1:25" x14ac:dyDescent="0.25">
      <c r="V102" t="s">
        <v>1552</v>
      </c>
      <c r="W102" s="30">
        <v>33739</v>
      </c>
      <c r="X102">
        <v>1</v>
      </c>
      <c r="Y102" s="30">
        <f t="shared" si="193"/>
        <v>33739</v>
      </c>
    </row>
    <row r="103" spans="1:25" x14ac:dyDescent="0.25">
      <c r="V103" t="s">
        <v>1554</v>
      </c>
      <c r="W103" s="30">
        <v>47434</v>
      </c>
      <c r="X103">
        <v>1</v>
      </c>
      <c r="Y103" s="30">
        <f t="shared" si="193"/>
        <v>47434</v>
      </c>
    </row>
    <row r="104" spans="1:25" x14ac:dyDescent="0.25">
      <c r="V104" t="s">
        <v>1556</v>
      </c>
      <c r="W104">
        <v>148</v>
      </c>
      <c r="X104">
        <v>1</v>
      </c>
      <c r="Y104" s="30">
        <f t="shared" si="193"/>
        <v>148</v>
      </c>
    </row>
    <row r="105" spans="1:25" x14ac:dyDescent="0.25">
      <c r="Y105" s="30"/>
    </row>
    <row r="106" spans="1:25" x14ac:dyDescent="0.25">
      <c r="V106" t="s">
        <v>1559</v>
      </c>
      <c r="W106" s="30">
        <v>651031</v>
      </c>
      <c r="Y106" s="30">
        <f>SUM(Y92:Y104)</f>
        <v>144536</v>
      </c>
    </row>
  </sheetData>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94A89-6E81-4CF1-96F9-98DB5B7B024F}">
  <dimension ref="A1:M122"/>
  <sheetViews>
    <sheetView workbookViewId="0">
      <selection activeCell="L58" sqref="L58"/>
    </sheetView>
  </sheetViews>
  <sheetFormatPr defaultRowHeight="15" x14ac:dyDescent="0.25"/>
  <cols>
    <col min="1" max="1" width="36.7109375" customWidth="1"/>
    <col min="2" max="2" width="9.5703125" customWidth="1"/>
    <col min="3" max="3" width="9.5703125" bestFit="1" customWidth="1"/>
    <col min="7" max="7" width="10.140625" bestFit="1" customWidth="1"/>
    <col min="8" max="8" width="12" bestFit="1" customWidth="1"/>
    <col min="9" max="9" width="10.28515625" customWidth="1"/>
    <col min="10" max="11" width="12" bestFit="1" customWidth="1"/>
    <col min="12" max="12" width="11.28515625" customWidth="1"/>
  </cols>
  <sheetData>
    <row r="1" spans="1:13" x14ac:dyDescent="0.25">
      <c r="A1" t="s">
        <v>4444</v>
      </c>
    </row>
    <row r="2" spans="1:13" s="79" customFormat="1" ht="30" x14ac:dyDescent="0.25">
      <c r="A2" s="79" t="s">
        <v>4445</v>
      </c>
      <c r="B2" s="79" t="s">
        <v>4435</v>
      </c>
      <c r="C2" s="79" t="s">
        <v>2457</v>
      </c>
      <c r="D2" s="79" t="s">
        <v>1488</v>
      </c>
      <c r="E2" s="79" t="s">
        <v>4423</v>
      </c>
      <c r="F2" s="79" t="s">
        <v>1414</v>
      </c>
      <c r="G2" s="79" t="s">
        <v>1776</v>
      </c>
      <c r="H2" s="79" t="s">
        <v>4419</v>
      </c>
      <c r="I2" s="79" t="s">
        <v>2073</v>
      </c>
      <c r="J2" s="79" t="s">
        <v>4424</v>
      </c>
      <c r="K2" s="79" t="s">
        <v>4428</v>
      </c>
      <c r="L2" s="79" t="s">
        <v>4421</v>
      </c>
    </row>
    <row r="3" spans="1:13" x14ac:dyDescent="0.25">
      <c r="A3" t="s">
        <v>4437</v>
      </c>
      <c r="B3">
        <v>1</v>
      </c>
      <c r="C3" s="28">
        <v>1600</v>
      </c>
      <c r="D3" s="28">
        <f>30*30</f>
        <v>900</v>
      </c>
      <c r="E3" s="28">
        <v>12</v>
      </c>
      <c r="F3" s="279">
        <f>D3*E3</f>
        <v>10800</v>
      </c>
      <c r="G3" s="345">
        <f>C3*60/F3</f>
        <v>8.8888888888888893</v>
      </c>
      <c r="H3" s="28">
        <v>6.9</v>
      </c>
      <c r="I3" s="279">
        <f>H3*120</f>
        <v>828</v>
      </c>
      <c r="J3" s="345">
        <f>I3/C3</f>
        <v>0.51749999999999996</v>
      </c>
      <c r="K3" s="345">
        <f>I3/G3</f>
        <v>93.149999999999991</v>
      </c>
      <c r="L3" s="346">
        <v>350</v>
      </c>
      <c r="M3" t="s">
        <v>4420</v>
      </c>
    </row>
    <row r="4" spans="1:13" x14ac:dyDescent="0.25">
      <c r="A4" t="s">
        <v>4438</v>
      </c>
      <c r="B4">
        <v>1</v>
      </c>
      <c r="C4" s="28">
        <v>2700</v>
      </c>
      <c r="D4" s="28">
        <f>30*30</f>
        <v>900</v>
      </c>
      <c r="E4" s="28">
        <v>12</v>
      </c>
      <c r="F4" s="279">
        <f>D4*E4</f>
        <v>10800</v>
      </c>
      <c r="G4" s="345">
        <f>C4*60/F4</f>
        <v>15</v>
      </c>
      <c r="H4" s="28">
        <v>15.3</v>
      </c>
      <c r="I4" s="279">
        <f>H4*120</f>
        <v>1836</v>
      </c>
      <c r="J4" s="345">
        <f>I4/C4</f>
        <v>0.68</v>
      </c>
      <c r="K4" s="345">
        <f t="shared" ref="K4" si="0">I4/G4</f>
        <v>122.4</v>
      </c>
      <c r="L4" s="346">
        <v>700</v>
      </c>
      <c r="M4" t="s">
        <v>4422</v>
      </c>
    </row>
    <row r="5" spans="1:13" x14ac:dyDescent="0.25">
      <c r="A5" t="s">
        <v>4427</v>
      </c>
      <c r="B5">
        <f>H5/H$4</f>
        <v>1</v>
      </c>
      <c r="C5" s="279">
        <f>C$4*B5</f>
        <v>2700</v>
      </c>
      <c r="D5" s="28">
        <f>30*30</f>
        <v>900</v>
      </c>
      <c r="E5" s="28">
        <v>12</v>
      </c>
      <c r="F5" s="279">
        <f>D5*E5</f>
        <v>10800</v>
      </c>
      <c r="G5" s="345">
        <f>C5*60/F5</f>
        <v>15</v>
      </c>
      <c r="H5" s="28">
        <v>15.3</v>
      </c>
      <c r="I5" s="279">
        <f>H5*120</f>
        <v>1836</v>
      </c>
      <c r="J5" s="345">
        <f>I5/C5</f>
        <v>0.68</v>
      </c>
      <c r="K5" s="345">
        <f>I5/G5</f>
        <v>122.4</v>
      </c>
      <c r="L5" t="s">
        <v>3564</v>
      </c>
      <c r="M5" t="s">
        <v>4441</v>
      </c>
    </row>
    <row r="6" spans="1:13" x14ac:dyDescent="0.25">
      <c r="A6" t="s">
        <v>4430</v>
      </c>
      <c r="B6" s="279">
        <f>H6/H$4</f>
        <v>0.79999999999999993</v>
      </c>
      <c r="C6" s="279">
        <f>C$4*B6</f>
        <v>2160</v>
      </c>
      <c r="D6" s="28">
        <f>30*30</f>
        <v>900</v>
      </c>
      <c r="E6" s="28">
        <v>12</v>
      </c>
      <c r="F6" s="279">
        <f>D6*E6</f>
        <v>10800</v>
      </c>
      <c r="G6" s="345">
        <f>C6*60/F6</f>
        <v>12</v>
      </c>
      <c r="H6" s="28">
        <v>12.24</v>
      </c>
      <c r="I6" s="279">
        <f>H6*120</f>
        <v>1468.8</v>
      </c>
      <c r="J6" s="345">
        <f>I6/C6</f>
        <v>0.67999999999999994</v>
      </c>
      <c r="K6" s="345">
        <f>I6/G6</f>
        <v>122.39999999999999</v>
      </c>
      <c r="L6" t="s">
        <v>3564</v>
      </c>
    </row>
    <row r="8" spans="1:13" x14ac:dyDescent="0.25">
      <c r="C8" t="s">
        <v>4425</v>
      </c>
    </row>
    <row r="9" spans="1:13" x14ac:dyDescent="0.25">
      <c r="C9" t="s">
        <v>4426</v>
      </c>
    </row>
    <row r="10" spans="1:13" s="79" customFormat="1" ht="30" x14ac:dyDescent="0.25">
      <c r="A10" s="28" t="s">
        <v>4447</v>
      </c>
      <c r="B10" s="28" t="s">
        <v>4435</v>
      </c>
      <c r="C10" s="79" t="s">
        <v>4440</v>
      </c>
      <c r="D10" s="79" t="s">
        <v>1488</v>
      </c>
      <c r="E10" s="79" t="s">
        <v>4423</v>
      </c>
      <c r="F10" s="79" t="s">
        <v>1414</v>
      </c>
      <c r="G10" s="79" t="s">
        <v>4431</v>
      </c>
      <c r="H10" s="79" t="s">
        <v>4419</v>
      </c>
      <c r="I10" s="79" t="s">
        <v>2073</v>
      </c>
      <c r="J10" s="79" t="s">
        <v>4433</v>
      </c>
      <c r="K10" s="79" t="s">
        <v>4432</v>
      </c>
      <c r="L10" s="79" t="s">
        <v>4421</v>
      </c>
    </row>
    <row r="11" spans="1:13" x14ac:dyDescent="0.25">
      <c r="A11" t="s">
        <v>4436</v>
      </c>
      <c r="B11">
        <v>1</v>
      </c>
      <c r="C11">
        <f>G11*F11/60</f>
        <v>2200</v>
      </c>
      <c r="D11" s="28">
        <v>550</v>
      </c>
      <c r="E11" s="28">
        <v>12</v>
      </c>
      <c r="F11" s="279">
        <f>D11*E11</f>
        <v>6600</v>
      </c>
      <c r="G11" s="28">
        <v>20</v>
      </c>
      <c r="H11" s="345">
        <f>I11/120</f>
        <v>1.5833333333333333</v>
      </c>
      <c r="I11" s="279">
        <f>95*2</f>
        <v>190</v>
      </c>
      <c r="J11" s="345">
        <f>I11/C11</f>
        <v>8.6363636363636365E-2</v>
      </c>
      <c r="K11" s="345">
        <f>I11/G11</f>
        <v>9.5</v>
      </c>
      <c r="L11" t="s">
        <v>3564</v>
      </c>
      <c r="M11" t="s">
        <v>4434</v>
      </c>
    </row>
    <row r="12" spans="1:13" x14ac:dyDescent="0.25">
      <c r="A12" t="s">
        <v>4439</v>
      </c>
      <c r="B12">
        <v>1.64</v>
      </c>
      <c r="C12">
        <f>G12*F12/60</f>
        <v>3608</v>
      </c>
      <c r="D12" s="28">
        <f>550*B12</f>
        <v>902</v>
      </c>
      <c r="E12" s="28">
        <v>12</v>
      </c>
      <c r="F12" s="279">
        <f>D12*E12</f>
        <v>10824</v>
      </c>
      <c r="G12" s="28">
        <v>20</v>
      </c>
      <c r="H12" s="345">
        <f>I12/120</f>
        <v>2.5966666666666662</v>
      </c>
      <c r="I12" s="279">
        <f>95*2*B12</f>
        <v>311.59999999999997</v>
      </c>
      <c r="J12" s="345">
        <f>I12/C12</f>
        <v>8.6363636363636351E-2</v>
      </c>
      <c r="K12" s="345">
        <f>I12/G12</f>
        <v>15.579999999999998</v>
      </c>
      <c r="L12" t="s">
        <v>3564</v>
      </c>
      <c r="M12" t="s">
        <v>4434</v>
      </c>
    </row>
    <row r="13" spans="1:13" x14ac:dyDescent="0.25">
      <c r="A13" t="s">
        <v>4429</v>
      </c>
      <c r="B13">
        <f>B$12*G13/G$12</f>
        <v>1.64</v>
      </c>
      <c r="C13">
        <f>G13*F13/60</f>
        <v>3608</v>
      </c>
      <c r="D13" s="28">
        <f>D$12</f>
        <v>902</v>
      </c>
      <c r="E13" s="28">
        <v>12</v>
      </c>
      <c r="F13" s="279">
        <f>D13*E13</f>
        <v>10824</v>
      </c>
      <c r="G13" s="28">
        <v>20</v>
      </c>
      <c r="H13" s="345">
        <f>I13/120</f>
        <v>2.5966666666666662</v>
      </c>
      <c r="I13" s="279">
        <f>95*2*B13</f>
        <v>311.59999999999997</v>
      </c>
      <c r="J13" s="345">
        <f>I13/C13</f>
        <v>8.6363636363636351E-2</v>
      </c>
      <c r="K13" s="345">
        <f>I13/G13</f>
        <v>15.579999999999998</v>
      </c>
      <c r="L13" t="s">
        <v>3564</v>
      </c>
      <c r="M13" t="s">
        <v>4441</v>
      </c>
    </row>
    <row r="14" spans="1:13" x14ac:dyDescent="0.25">
      <c r="A14" t="s">
        <v>4430</v>
      </c>
      <c r="B14">
        <f>B$12*G14/G$12</f>
        <v>0.98399999999999999</v>
      </c>
      <c r="C14">
        <f>G14*F14/60</f>
        <v>2164.8000000000002</v>
      </c>
      <c r="D14" s="28">
        <f>D$12</f>
        <v>902</v>
      </c>
      <c r="E14" s="28">
        <v>12</v>
      </c>
      <c r="F14" s="279">
        <f>D14*E14</f>
        <v>10824</v>
      </c>
      <c r="G14" s="28">
        <v>12</v>
      </c>
      <c r="H14" s="345">
        <f>I14/120</f>
        <v>1.5580000000000001</v>
      </c>
      <c r="I14" s="279">
        <f>95*2*B14</f>
        <v>186.96</v>
      </c>
      <c r="J14" s="345">
        <f>I14/C14</f>
        <v>8.6363636363636365E-2</v>
      </c>
      <c r="K14" s="345">
        <f>I14/G14</f>
        <v>15.58</v>
      </c>
      <c r="L14" t="s">
        <v>3564</v>
      </c>
    </row>
    <row r="15" spans="1:13" x14ac:dyDescent="0.25">
      <c r="D15" s="28"/>
      <c r="E15" s="28"/>
      <c r="F15" s="279"/>
      <c r="G15" s="28"/>
      <c r="H15" s="345"/>
      <c r="I15" s="279"/>
      <c r="J15" s="345"/>
      <c r="K15" s="345"/>
    </row>
    <row r="16" spans="1:13" x14ac:dyDescent="0.25">
      <c r="A16" t="s">
        <v>4442</v>
      </c>
    </row>
    <row r="18" spans="1:13" x14ac:dyDescent="0.25">
      <c r="A18" t="s">
        <v>4443</v>
      </c>
    </row>
    <row r="19" spans="1:13" x14ac:dyDescent="0.25">
      <c r="A19" t="s">
        <v>4446</v>
      </c>
      <c r="G19">
        <f t="shared" ref="G19:H19" si="1">G6/G14</f>
        <v>1</v>
      </c>
      <c r="H19">
        <f t="shared" si="1"/>
        <v>7.8562259306803597</v>
      </c>
      <c r="I19">
        <f>I6/I14</f>
        <v>7.8562259306803588</v>
      </c>
      <c r="J19">
        <f t="shared" ref="J19:K19" si="2">J6/J14</f>
        <v>7.8736842105263154</v>
      </c>
      <c r="K19">
        <f t="shared" si="2"/>
        <v>7.8562259306803588</v>
      </c>
      <c r="M19" t="s">
        <v>4448</v>
      </c>
    </row>
    <row r="22" spans="1:13" x14ac:dyDescent="0.25">
      <c r="A22" t="s">
        <v>4465</v>
      </c>
    </row>
    <row r="23" spans="1:13" s="2" customFormat="1" ht="45" x14ac:dyDescent="0.25">
      <c r="A23" s="2" t="s">
        <v>4288</v>
      </c>
      <c r="B23" s="79" t="s">
        <v>4475</v>
      </c>
      <c r="C23" s="79" t="s">
        <v>4456</v>
      </c>
      <c r="D23" s="79" t="s">
        <v>4451</v>
      </c>
      <c r="E23" s="79" t="s">
        <v>4452</v>
      </c>
      <c r="F23" s="79" t="s">
        <v>4453</v>
      </c>
      <c r="G23" s="79" t="s">
        <v>4454</v>
      </c>
      <c r="H23" s="79" t="s">
        <v>4455</v>
      </c>
    </row>
    <row r="24" spans="1:13" x14ac:dyDescent="0.25">
      <c r="A24" t="s">
        <v>4450</v>
      </c>
      <c r="B24">
        <v>0</v>
      </c>
      <c r="C24" s="34">
        <v>1</v>
      </c>
      <c r="D24" s="34">
        <v>1</v>
      </c>
      <c r="E24" s="34">
        <v>1</v>
      </c>
      <c r="F24" s="34">
        <v>1</v>
      </c>
      <c r="G24" s="34">
        <v>1</v>
      </c>
      <c r="H24" s="34">
        <v>1</v>
      </c>
    </row>
    <row r="25" spans="1:13" x14ac:dyDescent="0.25">
      <c r="A25" t="s">
        <v>4472</v>
      </c>
      <c r="B25">
        <v>1</v>
      </c>
      <c r="C25" s="57">
        <f>F25/60</f>
        <v>1.6666666666666666E-2</v>
      </c>
      <c r="D25" s="34">
        <f>F25*10/60</f>
        <v>0.16666666666666666</v>
      </c>
      <c r="E25" s="34">
        <f>F25*30/60</f>
        <v>0.5</v>
      </c>
      <c r="F25" s="34">
        <f t="shared" ref="F25:H30" si="3">1/$B25</f>
        <v>1</v>
      </c>
      <c r="G25" s="34">
        <f t="shared" si="3"/>
        <v>1</v>
      </c>
      <c r="H25" s="34">
        <f t="shared" si="3"/>
        <v>1</v>
      </c>
    </row>
    <row r="26" spans="1:13" x14ac:dyDescent="0.25">
      <c r="A26" t="s">
        <v>4466</v>
      </c>
      <c r="B26">
        <v>4</v>
      </c>
      <c r="C26" s="57">
        <f t="shared" ref="C26:C30" si="4">F26/60</f>
        <v>4.1666666666666666E-3</v>
      </c>
      <c r="D26" s="34">
        <f>F26*10/60</f>
        <v>4.1666666666666664E-2</v>
      </c>
      <c r="E26" s="34">
        <f t="shared" ref="E26:E30" si="5">F26*30/60</f>
        <v>0.125</v>
      </c>
      <c r="F26" s="34">
        <f t="shared" si="3"/>
        <v>0.25</v>
      </c>
      <c r="G26" s="34">
        <f t="shared" si="3"/>
        <v>0.25</v>
      </c>
      <c r="H26" s="34">
        <f t="shared" si="3"/>
        <v>0.25</v>
      </c>
    </row>
    <row r="27" spans="1:13" x14ac:dyDescent="0.25">
      <c r="A27" t="s">
        <v>4467</v>
      </c>
      <c r="B27">
        <v>6</v>
      </c>
      <c r="C27" s="57">
        <f t="shared" si="4"/>
        <v>2.7777777777777775E-3</v>
      </c>
      <c r="D27" s="34">
        <f t="shared" ref="D27:D30" si="6">F27*10/60</f>
        <v>2.7777777777777776E-2</v>
      </c>
      <c r="E27" s="34">
        <f t="shared" si="5"/>
        <v>8.3333333333333329E-2</v>
      </c>
      <c r="F27" s="34">
        <f t="shared" si="3"/>
        <v>0.16666666666666666</v>
      </c>
      <c r="G27" s="34">
        <f t="shared" si="3"/>
        <v>0.16666666666666666</v>
      </c>
      <c r="H27" s="34">
        <f t="shared" si="3"/>
        <v>0.16666666666666666</v>
      </c>
    </row>
    <row r="28" spans="1:13" x14ac:dyDescent="0.25">
      <c r="A28" t="s">
        <v>4468</v>
      </c>
      <c r="B28">
        <v>12</v>
      </c>
      <c r="C28" s="57">
        <f t="shared" si="4"/>
        <v>1.3888888888888887E-3</v>
      </c>
      <c r="D28" s="146">
        <f t="shared" si="6"/>
        <v>1.3888888888888888E-2</v>
      </c>
      <c r="E28" s="34">
        <f t="shared" si="5"/>
        <v>4.1666666666666664E-2</v>
      </c>
      <c r="F28" s="34">
        <f t="shared" si="3"/>
        <v>8.3333333333333329E-2</v>
      </c>
      <c r="G28" s="34">
        <f t="shared" si="3"/>
        <v>8.3333333333333329E-2</v>
      </c>
      <c r="H28" s="34">
        <f t="shared" si="3"/>
        <v>8.3333333333333329E-2</v>
      </c>
      <c r="I28" s="28" t="s">
        <v>4480</v>
      </c>
    </row>
    <row r="29" spans="1:13" x14ac:dyDescent="0.25">
      <c r="A29" t="s">
        <v>4469</v>
      </c>
      <c r="B29">
        <v>20</v>
      </c>
      <c r="C29" s="57">
        <f t="shared" si="4"/>
        <v>8.3333333333333339E-4</v>
      </c>
      <c r="D29" s="146">
        <f t="shared" si="6"/>
        <v>8.3333333333333332E-3</v>
      </c>
      <c r="E29" s="146">
        <f t="shared" si="5"/>
        <v>2.5000000000000001E-2</v>
      </c>
      <c r="F29" s="34">
        <f t="shared" si="3"/>
        <v>0.05</v>
      </c>
      <c r="G29" s="34">
        <f t="shared" si="3"/>
        <v>0.05</v>
      </c>
      <c r="H29" s="34">
        <f t="shared" si="3"/>
        <v>0.05</v>
      </c>
      <c r="I29" s="28" t="s">
        <v>4480</v>
      </c>
    </row>
    <row r="30" spans="1:13" x14ac:dyDescent="0.25">
      <c r="A30" t="s">
        <v>4470</v>
      </c>
      <c r="B30">
        <v>24</v>
      </c>
      <c r="C30" s="57">
        <f t="shared" si="4"/>
        <v>6.9444444444444436E-4</v>
      </c>
      <c r="D30" s="146">
        <f t="shared" si="6"/>
        <v>6.9444444444444441E-3</v>
      </c>
      <c r="E30" s="34">
        <f t="shared" si="5"/>
        <v>2.0833333333333332E-2</v>
      </c>
      <c r="F30" s="34">
        <f t="shared" si="3"/>
        <v>4.1666666666666664E-2</v>
      </c>
      <c r="G30" s="34">
        <f t="shared" si="3"/>
        <v>4.1666666666666664E-2</v>
      </c>
      <c r="H30" s="34">
        <f t="shared" si="3"/>
        <v>4.1666666666666664E-2</v>
      </c>
      <c r="I30" s="28" t="s">
        <v>4481</v>
      </c>
    </row>
    <row r="32" spans="1:13" x14ac:dyDescent="0.25">
      <c r="A32" t="s">
        <v>4471</v>
      </c>
    </row>
    <row r="33" spans="1:12" x14ac:dyDescent="0.25">
      <c r="A33" t="s">
        <v>4473</v>
      </c>
    </row>
    <row r="34" spans="1:12" x14ac:dyDescent="0.25">
      <c r="A34" t="s">
        <v>4474</v>
      </c>
    </row>
    <row r="37" spans="1:12" x14ac:dyDescent="0.25">
      <c r="A37" t="s">
        <v>4486</v>
      </c>
    </row>
    <row r="38" spans="1:12" x14ac:dyDescent="0.25">
      <c r="A38" t="s">
        <v>3432</v>
      </c>
    </row>
    <row r="39" spans="1:12" x14ac:dyDescent="0.25">
      <c r="A39" t="s">
        <v>4482</v>
      </c>
    </row>
    <row r="40" spans="1:12" x14ac:dyDescent="0.25">
      <c r="A40" t="s">
        <v>4483</v>
      </c>
    </row>
    <row r="41" spans="1:12" x14ac:dyDescent="0.25">
      <c r="A41" t="s">
        <v>4484</v>
      </c>
    </row>
    <row r="42" spans="1:12" x14ac:dyDescent="0.25">
      <c r="A42" t="s">
        <v>4485</v>
      </c>
    </row>
    <row r="44" spans="1:12" x14ac:dyDescent="0.25">
      <c r="A44" t="s">
        <v>4464</v>
      </c>
    </row>
    <row r="45" spans="1:12" ht="45" x14ac:dyDescent="0.25">
      <c r="A45" s="79" t="s">
        <v>4288</v>
      </c>
      <c r="B45" s="79" t="s">
        <v>862</v>
      </c>
      <c r="C45" s="79" t="s">
        <v>4460</v>
      </c>
      <c r="D45" s="79" t="s">
        <v>4457</v>
      </c>
      <c r="E45" s="79" t="s">
        <v>4493</v>
      </c>
      <c r="F45" s="79" t="s">
        <v>4487</v>
      </c>
      <c r="G45" s="79" t="s">
        <v>4488</v>
      </c>
      <c r="H45" s="79" t="s">
        <v>4489</v>
      </c>
      <c r="I45" s="79" t="s">
        <v>4490</v>
      </c>
      <c r="J45" s="79" t="s">
        <v>4491</v>
      </c>
      <c r="K45" s="79" t="s">
        <v>4492</v>
      </c>
      <c r="L45" s="79" t="s">
        <v>388</v>
      </c>
    </row>
    <row r="46" spans="1:12" x14ac:dyDescent="0.25">
      <c r="A46" t="s">
        <v>4458</v>
      </c>
      <c r="B46" s="55" t="s">
        <v>3564</v>
      </c>
      <c r="E46" s="29">
        <v>1200</v>
      </c>
      <c r="F46" s="30">
        <f>E46*1</f>
        <v>1200</v>
      </c>
      <c r="G46" s="30">
        <f>E46*10</f>
        <v>12000</v>
      </c>
      <c r="H46" s="30">
        <f>E46*30</f>
        <v>36000</v>
      </c>
      <c r="I46" s="30">
        <f>E46*60</f>
        <v>72000</v>
      </c>
      <c r="J46" s="30">
        <f>E46*120</f>
        <v>144000</v>
      </c>
      <c r="K46" s="30">
        <f>E46*240</f>
        <v>288000</v>
      </c>
    </row>
    <row r="47" spans="1:12" x14ac:dyDescent="0.25">
      <c r="A47" t="s">
        <v>4459</v>
      </c>
      <c r="B47" s="55" t="s">
        <v>3564</v>
      </c>
      <c r="C47">
        <v>30</v>
      </c>
      <c r="D47" s="30">
        <f t="shared" ref="D47:D50" si="7">(C47*C47/4)*4</f>
        <v>900</v>
      </c>
      <c r="E47" s="55" t="s">
        <v>3564</v>
      </c>
      <c r="F47" s="30">
        <f t="shared" ref="F47:K47" si="8">F46/$D47</f>
        <v>1.3333333333333333</v>
      </c>
      <c r="G47" s="30">
        <f t="shared" si="8"/>
        <v>13.333333333333334</v>
      </c>
      <c r="H47" s="30">
        <f t="shared" si="8"/>
        <v>40</v>
      </c>
      <c r="I47" s="98">
        <f t="shared" si="8"/>
        <v>80</v>
      </c>
      <c r="J47" s="30">
        <f t="shared" si="8"/>
        <v>160</v>
      </c>
      <c r="K47" s="30">
        <f t="shared" si="8"/>
        <v>320</v>
      </c>
      <c r="L47" t="s">
        <v>4476</v>
      </c>
    </row>
    <row r="48" spans="1:12" x14ac:dyDescent="0.25">
      <c r="A48" t="s">
        <v>4459</v>
      </c>
      <c r="B48" s="55" t="s">
        <v>3564</v>
      </c>
      <c r="C48">
        <v>10</v>
      </c>
      <c r="D48" s="30">
        <f t="shared" si="7"/>
        <v>100</v>
      </c>
      <c r="E48" s="55" t="s">
        <v>3564</v>
      </c>
      <c r="F48" s="30">
        <f t="shared" ref="F48:K48" si="9">F46/$D48</f>
        <v>12</v>
      </c>
      <c r="G48" s="30">
        <f t="shared" si="9"/>
        <v>120</v>
      </c>
      <c r="H48" s="30">
        <f t="shared" si="9"/>
        <v>360</v>
      </c>
      <c r="I48" s="30">
        <f t="shared" si="9"/>
        <v>720</v>
      </c>
      <c r="J48" s="30">
        <f t="shared" si="9"/>
        <v>1440</v>
      </c>
      <c r="K48" s="30">
        <f t="shared" si="9"/>
        <v>2880</v>
      </c>
      <c r="L48" t="s">
        <v>4461</v>
      </c>
    </row>
    <row r="49" spans="1:12" x14ac:dyDescent="0.25">
      <c r="A49" t="s">
        <v>4459</v>
      </c>
      <c r="B49" s="55" t="s">
        <v>3564</v>
      </c>
      <c r="C49">
        <v>6</v>
      </c>
      <c r="D49" s="30">
        <f t="shared" si="7"/>
        <v>36</v>
      </c>
      <c r="E49" s="55" t="s">
        <v>3564</v>
      </c>
      <c r="F49" s="30">
        <f t="shared" ref="F49:K49" si="10">F46/$D49</f>
        <v>33.333333333333336</v>
      </c>
      <c r="G49" s="30">
        <f t="shared" si="10"/>
        <v>333.33333333333331</v>
      </c>
      <c r="H49" s="30">
        <f t="shared" si="10"/>
        <v>1000</v>
      </c>
      <c r="I49" s="30">
        <f t="shared" si="10"/>
        <v>2000</v>
      </c>
      <c r="J49" s="30">
        <f t="shared" si="10"/>
        <v>4000</v>
      </c>
      <c r="K49" s="30">
        <f t="shared" si="10"/>
        <v>8000</v>
      </c>
      <c r="L49" t="s">
        <v>4461</v>
      </c>
    </row>
    <row r="50" spans="1:12" x14ac:dyDescent="0.25">
      <c r="A50" t="s">
        <v>4459</v>
      </c>
      <c r="B50" s="55" t="s">
        <v>3564</v>
      </c>
      <c r="C50">
        <v>2</v>
      </c>
      <c r="D50" s="30">
        <f t="shared" si="7"/>
        <v>4</v>
      </c>
      <c r="E50" s="55" t="s">
        <v>3564</v>
      </c>
      <c r="F50" s="30">
        <f t="shared" ref="F50:K50" si="11">F46/$D50</f>
        <v>300</v>
      </c>
      <c r="G50" s="30">
        <f t="shared" si="11"/>
        <v>3000</v>
      </c>
      <c r="H50" s="30">
        <f t="shared" si="11"/>
        <v>9000</v>
      </c>
      <c r="I50" s="30">
        <f t="shared" si="11"/>
        <v>18000</v>
      </c>
      <c r="J50" s="30">
        <f t="shared" si="11"/>
        <v>36000</v>
      </c>
      <c r="K50" s="30">
        <f t="shared" si="11"/>
        <v>72000</v>
      </c>
      <c r="L50" t="s">
        <v>4461</v>
      </c>
    </row>
    <row r="51" spans="1:12" x14ac:dyDescent="0.25">
      <c r="A51" t="s">
        <v>4459</v>
      </c>
      <c r="B51" s="55" t="s">
        <v>3564</v>
      </c>
      <c r="C51">
        <v>1</v>
      </c>
      <c r="D51" s="30">
        <f>(C51*C51/4)*4</f>
        <v>1</v>
      </c>
      <c r="E51" s="55" t="s">
        <v>3564</v>
      </c>
      <c r="F51" s="30">
        <f t="shared" ref="F51:K51" si="12">F46/$D51</f>
        <v>1200</v>
      </c>
      <c r="G51" s="30">
        <f t="shared" si="12"/>
        <v>12000</v>
      </c>
      <c r="H51" s="30">
        <f t="shared" si="12"/>
        <v>36000</v>
      </c>
      <c r="I51" s="30">
        <f t="shared" si="12"/>
        <v>72000</v>
      </c>
      <c r="J51" s="30">
        <f t="shared" si="12"/>
        <v>144000</v>
      </c>
      <c r="K51" s="30">
        <f t="shared" si="12"/>
        <v>288000</v>
      </c>
      <c r="L51" t="s">
        <v>4461</v>
      </c>
    </row>
    <row r="52" spans="1:12" x14ac:dyDescent="0.25">
      <c r="A52" s="348" t="s">
        <v>4477</v>
      </c>
      <c r="B52" s="349">
        <f>I47/E46</f>
        <v>6.6666666666666666E-2</v>
      </c>
      <c r="C52" s="350">
        <f>B52</f>
        <v>6.6666666666666666E-2</v>
      </c>
      <c r="D52" t="s">
        <v>4479</v>
      </c>
    </row>
    <row r="53" spans="1:12" x14ac:dyDescent="0.25">
      <c r="A53" s="348"/>
      <c r="B53" s="28"/>
    </row>
    <row r="54" spans="1:12" x14ac:dyDescent="0.25">
      <c r="A54" t="s">
        <v>4463</v>
      </c>
    </row>
    <row r="55" spans="1:12" s="79" customFormat="1" ht="45" x14ac:dyDescent="0.25">
      <c r="A55" s="79" t="s">
        <v>4288</v>
      </c>
      <c r="B55" s="79" t="s">
        <v>862</v>
      </c>
      <c r="C55" s="79" t="s">
        <v>4460</v>
      </c>
      <c r="D55" s="79" t="s">
        <v>4457</v>
      </c>
      <c r="E55" s="79" t="s">
        <v>4493</v>
      </c>
      <c r="F55" s="79" t="s">
        <v>4487</v>
      </c>
      <c r="G55" s="79" t="s">
        <v>4488</v>
      </c>
      <c r="H55" s="79" t="s">
        <v>4489</v>
      </c>
      <c r="I55" s="79" t="s">
        <v>4490</v>
      </c>
      <c r="J55" s="79" t="s">
        <v>4491</v>
      </c>
      <c r="K55" s="79" t="s">
        <v>4492</v>
      </c>
      <c r="L55" s="79" t="s">
        <v>388</v>
      </c>
    </row>
    <row r="56" spans="1:12" x14ac:dyDescent="0.25">
      <c r="A56" t="s">
        <v>4458</v>
      </c>
      <c r="B56" s="55" t="s">
        <v>3564</v>
      </c>
      <c r="E56" s="29">
        <v>1200</v>
      </c>
      <c r="F56" s="30">
        <f>E56*1</f>
        <v>1200</v>
      </c>
      <c r="G56" s="30">
        <f>E56*10</f>
        <v>12000</v>
      </c>
      <c r="H56" s="30">
        <f>E56*30</f>
        <v>36000</v>
      </c>
      <c r="I56" s="30">
        <f>E56*60</f>
        <v>72000</v>
      </c>
      <c r="J56" s="30">
        <f>E56*120</f>
        <v>144000</v>
      </c>
      <c r="K56" s="30">
        <f>E56*240</f>
        <v>288000</v>
      </c>
    </row>
    <row r="57" spans="1:12" x14ac:dyDescent="0.25">
      <c r="A57" t="s">
        <v>4459</v>
      </c>
      <c r="B57" s="30">
        <f>30*30*12</f>
        <v>10800</v>
      </c>
      <c r="C57">
        <v>30</v>
      </c>
      <c r="D57" s="30">
        <f t="shared" ref="D57:D60" si="13">(C57*C57/4)*4</f>
        <v>900</v>
      </c>
      <c r="E57" s="55" t="s">
        <v>3564</v>
      </c>
      <c r="F57" s="30">
        <f t="shared" ref="F57:K57" si="14">F56/$B57</f>
        <v>0.1111111111111111</v>
      </c>
      <c r="G57" s="347">
        <f t="shared" si="14"/>
        <v>1.1111111111111112</v>
      </c>
      <c r="H57" s="347">
        <f t="shared" si="14"/>
        <v>3.3333333333333335</v>
      </c>
      <c r="I57" s="98">
        <f t="shared" si="14"/>
        <v>6.666666666666667</v>
      </c>
      <c r="J57" s="347">
        <f t="shared" si="14"/>
        <v>13.333333333333334</v>
      </c>
      <c r="K57" s="30">
        <f t="shared" si="14"/>
        <v>26.666666666666668</v>
      </c>
      <c r="L57" t="s">
        <v>4476</v>
      </c>
    </row>
    <row r="58" spans="1:12" x14ac:dyDescent="0.25">
      <c r="A58" t="s">
        <v>4459</v>
      </c>
      <c r="B58" s="30">
        <f t="shared" ref="B58:B59" si="15">30*30*12</f>
        <v>10800</v>
      </c>
      <c r="C58">
        <v>10</v>
      </c>
      <c r="D58" s="30">
        <f t="shared" si="13"/>
        <v>100</v>
      </c>
      <c r="E58" s="55" t="s">
        <v>3564</v>
      </c>
      <c r="F58" s="30">
        <f>F56/$D58</f>
        <v>12</v>
      </c>
      <c r="G58" s="347">
        <f>G56/$B58</f>
        <v>1.1111111111111112</v>
      </c>
      <c r="H58" s="347">
        <f>H56/$B58</f>
        <v>3.3333333333333335</v>
      </c>
      <c r="I58" s="347">
        <f>I56/$B58</f>
        <v>6.666666666666667</v>
      </c>
      <c r="J58" s="347">
        <f>J56/$B58</f>
        <v>13.333333333333334</v>
      </c>
      <c r="K58" s="30">
        <f>K56/$B58</f>
        <v>26.666666666666668</v>
      </c>
      <c r="L58" t="s">
        <v>4462</v>
      </c>
    </row>
    <row r="59" spans="1:12" x14ac:dyDescent="0.25">
      <c r="A59" t="s">
        <v>4459</v>
      </c>
      <c r="B59" s="30">
        <f t="shared" si="15"/>
        <v>10800</v>
      </c>
      <c r="C59">
        <v>6</v>
      </c>
      <c r="D59" s="30">
        <f t="shared" si="13"/>
        <v>36</v>
      </c>
      <c r="E59" s="55" t="s">
        <v>3564</v>
      </c>
      <c r="F59" s="30">
        <f>F56/$D59</f>
        <v>33.333333333333336</v>
      </c>
      <c r="G59" s="347">
        <f>G56/$B59</f>
        <v>1.1111111111111112</v>
      </c>
      <c r="H59" s="347">
        <f>H56/$B59</f>
        <v>3.3333333333333335</v>
      </c>
      <c r="I59" s="347">
        <f>I56/$B59</f>
        <v>6.666666666666667</v>
      </c>
      <c r="J59" s="347">
        <f>J56/$B59</f>
        <v>13.333333333333334</v>
      </c>
      <c r="K59" s="30">
        <f>K56/$B59</f>
        <v>26.666666666666668</v>
      </c>
      <c r="L59" t="s">
        <v>4462</v>
      </c>
    </row>
    <row r="60" spans="1:12" x14ac:dyDescent="0.25">
      <c r="A60" t="s">
        <v>4459</v>
      </c>
      <c r="B60" s="55" t="s">
        <v>3564</v>
      </c>
      <c r="C60">
        <v>2</v>
      </c>
      <c r="D60" s="30">
        <f t="shared" si="13"/>
        <v>4</v>
      </c>
      <c r="E60" s="55" t="s">
        <v>3564</v>
      </c>
      <c r="F60" s="30">
        <f>F56/$D60</f>
        <v>300</v>
      </c>
      <c r="G60" s="30">
        <f>G56/$D60</f>
        <v>3000</v>
      </c>
      <c r="H60" s="30">
        <f>H56/$D60</f>
        <v>9000</v>
      </c>
      <c r="I60" s="30">
        <f>I56/$D60</f>
        <v>18000</v>
      </c>
      <c r="J60" s="30">
        <f>J56/$D60</f>
        <v>36000</v>
      </c>
      <c r="K60" s="30">
        <f>$F56/$D60</f>
        <v>300</v>
      </c>
      <c r="L60" t="s">
        <v>4462</v>
      </c>
    </row>
    <row r="61" spans="1:12" x14ac:dyDescent="0.25">
      <c r="A61" t="s">
        <v>4459</v>
      </c>
      <c r="B61" s="55" t="s">
        <v>3564</v>
      </c>
      <c r="C61">
        <v>1</v>
      </c>
      <c r="D61" s="30">
        <f>(C61*C61/4)*4</f>
        <v>1</v>
      </c>
      <c r="E61" s="55" t="s">
        <v>3564</v>
      </c>
      <c r="F61" s="30">
        <f>F56/$D61</f>
        <v>1200</v>
      </c>
      <c r="G61" s="30">
        <f>G56/$D61</f>
        <v>12000</v>
      </c>
      <c r="H61" s="30">
        <f>H56/$D61</f>
        <v>36000</v>
      </c>
      <c r="I61" s="30">
        <f>I56/$D61</f>
        <v>72000</v>
      </c>
      <c r="J61" s="30">
        <f>J56/$D61</f>
        <v>144000</v>
      </c>
      <c r="K61" s="30">
        <f>$F56/$D61</f>
        <v>1200</v>
      </c>
      <c r="L61" t="s">
        <v>4462</v>
      </c>
    </row>
    <row r="62" spans="1:12" x14ac:dyDescent="0.25">
      <c r="A62" s="348" t="s">
        <v>4478</v>
      </c>
      <c r="B62" s="349">
        <f>I57/E56</f>
        <v>5.5555555555555558E-3</v>
      </c>
      <c r="C62" s="350">
        <f>B62</f>
        <v>5.5555555555555558E-3</v>
      </c>
      <c r="D62" t="s">
        <v>4479</v>
      </c>
    </row>
    <row r="64" spans="1:12" x14ac:dyDescent="0.25">
      <c r="A64" t="s">
        <v>4464</v>
      </c>
    </row>
    <row r="65" spans="1:12" ht="45" x14ac:dyDescent="0.25">
      <c r="A65" s="79" t="s">
        <v>4288</v>
      </c>
      <c r="B65" s="79" t="s">
        <v>862</v>
      </c>
      <c r="C65" s="79" t="s">
        <v>4460</v>
      </c>
      <c r="D65" s="79" t="s">
        <v>4457</v>
      </c>
      <c r="E65" s="79" t="s">
        <v>4493</v>
      </c>
      <c r="F65" s="79" t="s">
        <v>4487</v>
      </c>
      <c r="G65" s="79" t="s">
        <v>4488</v>
      </c>
      <c r="H65" s="79" t="s">
        <v>4489</v>
      </c>
      <c r="I65" s="79" t="s">
        <v>4490</v>
      </c>
      <c r="J65" s="79" t="s">
        <v>4491</v>
      </c>
      <c r="K65" s="79" t="s">
        <v>4492</v>
      </c>
      <c r="L65" s="79" t="s">
        <v>388</v>
      </c>
    </row>
    <row r="66" spans="1:12" x14ac:dyDescent="0.25">
      <c r="A66" t="s">
        <v>4458</v>
      </c>
      <c r="B66" s="55" t="s">
        <v>3564</v>
      </c>
      <c r="E66" s="29">
        <v>12000</v>
      </c>
      <c r="F66" s="30">
        <f>E66*1</f>
        <v>12000</v>
      </c>
      <c r="G66" s="30">
        <f>E66*10</f>
        <v>120000</v>
      </c>
      <c r="H66" s="30">
        <f>E66*30</f>
        <v>360000</v>
      </c>
      <c r="I66" s="30">
        <f>E66*60</f>
        <v>720000</v>
      </c>
      <c r="J66" s="30">
        <f>E66*120</f>
        <v>1440000</v>
      </c>
      <c r="K66" s="30">
        <f>E66*240</f>
        <v>2880000</v>
      </c>
    </row>
    <row r="67" spans="1:12" x14ac:dyDescent="0.25">
      <c r="A67" t="s">
        <v>4459</v>
      </c>
      <c r="B67" s="55" t="s">
        <v>3564</v>
      </c>
      <c r="C67">
        <v>30</v>
      </c>
      <c r="D67" s="30">
        <f t="shared" ref="D67:D70" si="16">(C67*C67/4)*4</f>
        <v>900</v>
      </c>
      <c r="E67" s="55" t="s">
        <v>3564</v>
      </c>
      <c r="F67" s="30">
        <f t="shared" ref="F67:K67" si="17">F66/$D67</f>
        <v>13.333333333333334</v>
      </c>
      <c r="G67" s="30">
        <f t="shared" si="17"/>
        <v>133.33333333333334</v>
      </c>
      <c r="H67" s="30">
        <f t="shared" si="17"/>
        <v>400</v>
      </c>
      <c r="I67" s="98">
        <f t="shared" si="17"/>
        <v>800</v>
      </c>
      <c r="J67" s="30">
        <f t="shared" si="17"/>
        <v>1600</v>
      </c>
      <c r="K67" s="30">
        <f t="shared" si="17"/>
        <v>3200</v>
      </c>
      <c r="L67" t="s">
        <v>4476</v>
      </c>
    </row>
    <row r="68" spans="1:12" x14ac:dyDescent="0.25">
      <c r="A68" t="s">
        <v>4459</v>
      </c>
      <c r="B68" s="55" t="s">
        <v>3564</v>
      </c>
      <c r="C68">
        <v>10</v>
      </c>
      <c r="D68" s="30">
        <f t="shared" si="16"/>
        <v>100</v>
      </c>
      <c r="E68" s="55" t="s">
        <v>3564</v>
      </c>
      <c r="F68" s="30">
        <f t="shared" ref="F68:K68" si="18">F66/$D68</f>
        <v>120</v>
      </c>
      <c r="G68" s="30">
        <f t="shared" si="18"/>
        <v>1200</v>
      </c>
      <c r="H68" s="30">
        <f t="shared" si="18"/>
        <v>3600</v>
      </c>
      <c r="I68" s="30">
        <f t="shared" si="18"/>
        <v>7200</v>
      </c>
      <c r="J68" s="30">
        <f t="shared" si="18"/>
        <v>14400</v>
      </c>
      <c r="K68" s="30">
        <f t="shared" si="18"/>
        <v>28800</v>
      </c>
      <c r="L68" t="s">
        <v>4461</v>
      </c>
    </row>
    <row r="69" spans="1:12" x14ac:dyDescent="0.25">
      <c r="A69" t="s">
        <v>4459</v>
      </c>
      <c r="B69" s="55" t="s">
        <v>3564</v>
      </c>
      <c r="C69">
        <v>6</v>
      </c>
      <c r="D69" s="30">
        <f t="shared" si="16"/>
        <v>36</v>
      </c>
      <c r="E69" s="55" t="s">
        <v>3564</v>
      </c>
      <c r="F69" s="30">
        <f t="shared" ref="F69:K69" si="19">F66/$D69</f>
        <v>333.33333333333331</v>
      </c>
      <c r="G69" s="30">
        <f t="shared" si="19"/>
        <v>3333.3333333333335</v>
      </c>
      <c r="H69" s="30">
        <f t="shared" si="19"/>
        <v>10000</v>
      </c>
      <c r="I69" s="30">
        <f t="shared" si="19"/>
        <v>20000</v>
      </c>
      <c r="J69" s="30">
        <f t="shared" si="19"/>
        <v>40000</v>
      </c>
      <c r="K69" s="30">
        <f t="shared" si="19"/>
        <v>80000</v>
      </c>
      <c r="L69" t="s">
        <v>4461</v>
      </c>
    </row>
    <row r="70" spans="1:12" x14ac:dyDescent="0.25">
      <c r="A70" t="s">
        <v>4459</v>
      </c>
      <c r="B70" s="55" t="s">
        <v>3564</v>
      </c>
      <c r="C70">
        <v>2</v>
      </c>
      <c r="D70" s="30">
        <f t="shared" si="16"/>
        <v>4</v>
      </c>
      <c r="E70" s="55" t="s">
        <v>3564</v>
      </c>
      <c r="F70" s="30">
        <f t="shared" ref="F70:K70" si="20">F66/$D70</f>
        <v>3000</v>
      </c>
      <c r="G70" s="30">
        <f t="shared" si="20"/>
        <v>30000</v>
      </c>
      <c r="H70" s="30">
        <f t="shared" si="20"/>
        <v>90000</v>
      </c>
      <c r="I70" s="30">
        <f t="shared" si="20"/>
        <v>180000</v>
      </c>
      <c r="J70" s="30">
        <f t="shared" si="20"/>
        <v>360000</v>
      </c>
      <c r="K70" s="30">
        <f t="shared" si="20"/>
        <v>720000</v>
      </c>
      <c r="L70" t="s">
        <v>4461</v>
      </c>
    </row>
    <row r="71" spans="1:12" x14ac:dyDescent="0.25">
      <c r="A71" t="s">
        <v>4459</v>
      </c>
      <c r="B71" s="55" t="s">
        <v>3564</v>
      </c>
      <c r="C71">
        <v>1</v>
      </c>
      <c r="D71" s="30">
        <f>(C71*C71/4)*4</f>
        <v>1</v>
      </c>
      <c r="E71" s="55" t="s">
        <v>3564</v>
      </c>
      <c r="F71" s="30">
        <f t="shared" ref="F71:K71" si="21">F66/$D71</f>
        <v>12000</v>
      </c>
      <c r="G71" s="30">
        <f t="shared" si="21"/>
        <v>120000</v>
      </c>
      <c r="H71" s="30">
        <f t="shared" si="21"/>
        <v>360000</v>
      </c>
      <c r="I71" s="30">
        <f t="shared" si="21"/>
        <v>720000</v>
      </c>
      <c r="J71" s="30">
        <f t="shared" si="21"/>
        <v>1440000</v>
      </c>
      <c r="K71" s="30">
        <f t="shared" si="21"/>
        <v>2880000</v>
      </c>
      <c r="L71" t="s">
        <v>4461</v>
      </c>
    </row>
    <row r="72" spans="1:12" x14ac:dyDescent="0.25">
      <c r="A72" s="348" t="s">
        <v>4477</v>
      </c>
      <c r="B72" s="349">
        <f>I67/E66</f>
        <v>6.6666666666666666E-2</v>
      </c>
      <c r="C72" s="350">
        <f>B72</f>
        <v>6.6666666666666666E-2</v>
      </c>
      <c r="D72" t="s">
        <v>4479</v>
      </c>
    </row>
    <row r="73" spans="1:12" x14ac:dyDescent="0.25">
      <c r="A73" s="348"/>
      <c r="B73" s="28"/>
    </row>
    <row r="74" spans="1:12" x14ac:dyDescent="0.25">
      <c r="A74" t="s">
        <v>4463</v>
      </c>
    </row>
    <row r="75" spans="1:12" s="79" customFormat="1" ht="45" x14ac:dyDescent="0.25">
      <c r="A75" s="79" t="s">
        <v>4288</v>
      </c>
      <c r="B75" s="79" t="s">
        <v>862</v>
      </c>
      <c r="C75" s="79" t="s">
        <v>4460</v>
      </c>
      <c r="D75" s="79" t="s">
        <v>4457</v>
      </c>
      <c r="E75" s="79" t="s">
        <v>4493</v>
      </c>
      <c r="F75" s="79" t="s">
        <v>4487</v>
      </c>
      <c r="G75" s="79" t="s">
        <v>4488</v>
      </c>
      <c r="H75" s="79" t="s">
        <v>4489</v>
      </c>
      <c r="I75" s="79" t="s">
        <v>4490</v>
      </c>
      <c r="J75" s="79" t="s">
        <v>4491</v>
      </c>
      <c r="K75" s="79" t="s">
        <v>4492</v>
      </c>
      <c r="L75" s="79" t="s">
        <v>388</v>
      </c>
    </row>
    <row r="76" spans="1:12" x14ac:dyDescent="0.25">
      <c r="A76" t="s">
        <v>4458</v>
      </c>
      <c r="B76" s="55" t="s">
        <v>3564</v>
      </c>
      <c r="E76" s="29">
        <v>12000</v>
      </c>
      <c r="F76" s="30">
        <f>E76*1</f>
        <v>12000</v>
      </c>
      <c r="G76" s="30">
        <f>E76*10</f>
        <v>120000</v>
      </c>
      <c r="H76" s="30">
        <f>E76*30</f>
        <v>360000</v>
      </c>
      <c r="I76" s="30">
        <f>E76*60</f>
        <v>720000</v>
      </c>
      <c r="J76" s="30">
        <f>E76*120</f>
        <v>1440000</v>
      </c>
      <c r="K76" s="30">
        <f>E76*240</f>
        <v>2880000</v>
      </c>
    </row>
    <row r="77" spans="1:12" x14ac:dyDescent="0.25">
      <c r="A77" t="s">
        <v>4459</v>
      </c>
      <c r="B77" s="30">
        <f>30*30*12</f>
        <v>10800</v>
      </c>
      <c r="C77">
        <v>30</v>
      </c>
      <c r="D77" s="30">
        <f t="shared" ref="D77:D80" si="22">(C77*C77/4)*4</f>
        <v>900</v>
      </c>
      <c r="E77" s="55" t="s">
        <v>3564</v>
      </c>
      <c r="F77" s="30">
        <f t="shared" ref="F77:K77" si="23">F76/$B77</f>
        <v>1.1111111111111112</v>
      </c>
      <c r="G77" s="347">
        <f t="shared" si="23"/>
        <v>11.111111111111111</v>
      </c>
      <c r="H77" s="347">
        <f t="shared" si="23"/>
        <v>33.333333333333336</v>
      </c>
      <c r="I77" s="98">
        <f t="shared" si="23"/>
        <v>66.666666666666671</v>
      </c>
      <c r="J77" s="347">
        <f t="shared" si="23"/>
        <v>133.33333333333334</v>
      </c>
      <c r="K77" s="347">
        <f t="shared" si="23"/>
        <v>266.66666666666669</v>
      </c>
      <c r="L77" t="s">
        <v>4476</v>
      </c>
    </row>
    <row r="78" spans="1:12" x14ac:dyDescent="0.25">
      <c r="A78" t="s">
        <v>4459</v>
      </c>
      <c r="B78" s="30">
        <f t="shared" ref="B78:B79" si="24">30*30*12</f>
        <v>10800</v>
      </c>
      <c r="C78">
        <v>10</v>
      </c>
      <c r="D78" s="30">
        <f t="shared" si="22"/>
        <v>100</v>
      </c>
      <c r="E78" s="55" t="s">
        <v>3564</v>
      </c>
      <c r="F78" s="30">
        <f>F76/$D78</f>
        <v>120</v>
      </c>
      <c r="G78" s="347">
        <f>G76/$B78</f>
        <v>11.111111111111111</v>
      </c>
      <c r="H78" s="347">
        <f>H76/$B78</f>
        <v>33.333333333333336</v>
      </c>
      <c r="I78" s="347">
        <f>I76/$B78</f>
        <v>66.666666666666671</v>
      </c>
      <c r="J78" s="347">
        <f>J76/$B78</f>
        <v>133.33333333333334</v>
      </c>
      <c r="K78" s="347">
        <f>K76/$B78</f>
        <v>266.66666666666669</v>
      </c>
      <c r="L78" t="s">
        <v>4462</v>
      </c>
    </row>
    <row r="79" spans="1:12" x14ac:dyDescent="0.25">
      <c r="A79" t="s">
        <v>4459</v>
      </c>
      <c r="B79" s="30">
        <f t="shared" si="24"/>
        <v>10800</v>
      </c>
      <c r="C79">
        <v>6</v>
      </c>
      <c r="D79" s="30">
        <f t="shared" si="22"/>
        <v>36</v>
      </c>
      <c r="E79" s="55" t="s">
        <v>3564</v>
      </c>
      <c r="F79" s="30">
        <f>F76/$D79</f>
        <v>333.33333333333331</v>
      </c>
      <c r="G79" s="347">
        <f>G76/$B79</f>
        <v>11.111111111111111</v>
      </c>
      <c r="H79" s="347">
        <f>H76/$B79</f>
        <v>33.333333333333336</v>
      </c>
      <c r="I79" s="347">
        <f>I76/$B79</f>
        <v>66.666666666666671</v>
      </c>
      <c r="J79" s="347">
        <f>J76/$B79</f>
        <v>133.33333333333334</v>
      </c>
      <c r="K79" s="347">
        <f>K76/$B79</f>
        <v>266.66666666666669</v>
      </c>
      <c r="L79" t="s">
        <v>4462</v>
      </c>
    </row>
    <row r="80" spans="1:12" x14ac:dyDescent="0.25">
      <c r="A80" t="s">
        <v>4459</v>
      </c>
      <c r="B80" s="55" t="s">
        <v>3564</v>
      </c>
      <c r="C80">
        <v>2</v>
      </c>
      <c r="D80" s="30">
        <f t="shared" si="22"/>
        <v>4</v>
      </c>
      <c r="E80" s="55" t="s">
        <v>3564</v>
      </c>
      <c r="F80" s="30">
        <f>F76/$D80</f>
        <v>3000</v>
      </c>
      <c r="G80" s="30">
        <f>G76/$D80</f>
        <v>30000</v>
      </c>
      <c r="H80" s="30">
        <f>H76/$D80</f>
        <v>90000</v>
      </c>
      <c r="I80" s="30">
        <f>I76/$D80</f>
        <v>180000</v>
      </c>
      <c r="J80" s="30">
        <f>J76/$D80</f>
        <v>360000</v>
      </c>
      <c r="K80" s="30">
        <f>$F76/$D80</f>
        <v>3000</v>
      </c>
      <c r="L80" t="s">
        <v>4462</v>
      </c>
    </row>
    <row r="81" spans="1:12" x14ac:dyDescent="0.25">
      <c r="A81" t="s">
        <v>4459</v>
      </c>
      <c r="B81" s="55" t="s">
        <v>3564</v>
      </c>
      <c r="C81">
        <v>1</v>
      </c>
      <c r="D81" s="30">
        <f>(C81*C81/4)*4</f>
        <v>1</v>
      </c>
      <c r="E81" s="55" t="s">
        <v>3564</v>
      </c>
      <c r="F81" s="30">
        <f>F76/$D81</f>
        <v>12000</v>
      </c>
      <c r="G81" s="30">
        <f>G76/$D81</f>
        <v>120000</v>
      </c>
      <c r="H81" s="30">
        <f>H76/$D81</f>
        <v>360000</v>
      </c>
      <c r="I81" s="30">
        <f>I76/$D81</f>
        <v>720000</v>
      </c>
      <c r="J81" s="30">
        <f>J76/$D81</f>
        <v>1440000</v>
      </c>
      <c r="K81" s="30">
        <f>$F76/$D81</f>
        <v>12000</v>
      </c>
      <c r="L81" t="s">
        <v>4462</v>
      </c>
    </row>
    <row r="82" spans="1:12" x14ac:dyDescent="0.25">
      <c r="A82" s="348" t="s">
        <v>4478</v>
      </c>
      <c r="B82" s="349">
        <f>I77/E76</f>
        <v>5.5555555555555558E-3</v>
      </c>
      <c r="C82" s="350">
        <f>B82</f>
        <v>5.5555555555555558E-3</v>
      </c>
      <c r="D82" t="s">
        <v>4479</v>
      </c>
    </row>
    <row r="84" spans="1:12" x14ac:dyDescent="0.25">
      <c r="A84" t="s">
        <v>4464</v>
      </c>
    </row>
    <row r="85" spans="1:12" ht="45" x14ac:dyDescent="0.25">
      <c r="A85" s="79" t="s">
        <v>4288</v>
      </c>
      <c r="B85" s="79" t="s">
        <v>862</v>
      </c>
      <c r="C85" s="79" t="s">
        <v>4460</v>
      </c>
      <c r="D85" s="79" t="s">
        <v>4457</v>
      </c>
      <c r="E85" s="79" t="s">
        <v>4493</v>
      </c>
      <c r="F85" s="79" t="s">
        <v>4487</v>
      </c>
      <c r="G85" s="79" t="s">
        <v>4488</v>
      </c>
      <c r="H85" s="79" t="s">
        <v>4489</v>
      </c>
      <c r="I85" s="79" t="s">
        <v>4490</v>
      </c>
      <c r="J85" s="79" t="s">
        <v>4491</v>
      </c>
      <c r="K85" s="79" t="s">
        <v>4492</v>
      </c>
      <c r="L85" s="79" t="s">
        <v>388</v>
      </c>
    </row>
    <row r="86" spans="1:12" x14ac:dyDescent="0.25">
      <c r="A86" t="s">
        <v>4458</v>
      </c>
      <c r="B86" s="55" t="s">
        <v>3564</v>
      </c>
      <c r="E86" s="29">
        <v>120000</v>
      </c>
      <c r="F86" s="30">
        <f>E86*1</f>
        <v>120000</v>
      </c>
      <c r="G86" s="30">
        <f>E86*10</f>
        <v>1200000</v>
      </c>
      <c r="H86" s="30">
        <f>E86*30</f>
        <v>3600000</v>
      </c>
      <c r="I86" s="30">
        <f>E86*60</f>
        <v>7200000</v>
      </c>
      <c r="J86" s="30">
        <f>E86*120</f>
        <v>14400000</v>
      </c>
      <c r="K86" s="30">
        <f>E86*240</f>
        <v>28800000</v>
      </c>
    </row>
    <row r="87" spans="1:12" x14ac:dyDescent="0.25">
      <c r="A87" t="s">
        <v>4459</v>
      </c>
      <c r="B87" s="55" t="s">
        <v>3564</v>
      </c>
      <c r="C87">
        <v>30</v>
      </c>
      <c r="D87" s="30">
        <f t="shared" ref="D87:D90" si="25">(C87*C87/4)*4</f>
        <v>900</v>
      </c>
      <c r="E87" s="55" t="s">
        <v>3564</v>
      </c>
      <c r="F87" s="30">
        <f t="shared" ref="F87:K87" si="26">F86/$D87</f>
        <v>133.33333333333334</v>
      </c>
      <c r="G87" s="30">
        <f t="shared" si="26"/>
        <v>1333.3333333333333</v>
      </c>
      <c r="H87" s="30">
        <f t="shared" si="26"/>
        <v>4000</v>
      </c>
      <c r="I87" s="98">
        <f t="shared" si="26"/>
        <v>8000</v>
      </c>
      <c r="J87" s="30">
        <f t="shared" si="26"/>
        <v>16000</v>
      </c>
      <c r="K87" s="30">
        <f t="shared" si="26"/>
        <v>32000</v>
      </c>
      <c r="L87" t="s">
        <v>4476</v>
      </c>
    </row>
    <row r="88" spans="1:12" x14ac:dyDescent="0.25">
      <c r="A88" t="s">
        <v>4459</v>
      </c>
      <c r="B88" s="55" t="s">
        <v>3564</v>
      </c>
      <c r="C88">
        <v>10</v>
      </c>
      <c r="D88" s="30">
        <f t="shared" si="25"/>
        <v>100</v>
      </c>
      <c r="E88" s="55" t="s">
        <v>3564</v>
      </c>
      <c r="F88" s="30">
        <f t="shared" ref="F88:K88" si="27">F86/$D88</f>
        <v>1200</v>
      </c>
      <c r="G88" s="30">
        <f t="shared" si="27"/>
        <v>12000</v>
      </c>
      <c r="H88" s="30">
        <f t="shared" si="27"/>
        <v>36000</v>
      </c>
      <c r="I88" s="30">
        <f t="shared" si="27"/>
        <v>72000</v>
      </c>
      <c r="J88" s="30">
        <f t="shared" si="27"/>
        <v>144000</v>
      </c>
      <c r="K88" s="30">
        <f t="shared" si="27"/>
        <v>288000</v>
      </c>
      <c r="L88" t="s">
        <v>4461</v>
      </c>
    </row>
    <row r="89" spans="1:12" x14ac:dyDescent="0.25">
      <c r="A89" t="s">
        <v>4459</v>
      </c>
      <c r="B89" s="55" t="s">
        <v>3564</v>
      </c>
      <c r="C89">
        <v>6</v>
      </c>
      <c r="D89" s="30">
        <f t="shared" si="25"/>
        <v>36</v>
      </c>
      <c r="E89" s="55" t="s">
        <v>3564</v>
      </c>
      <c r="F89" s="30">
        <f t="shared" ref="F89:K89" si="28">F86/$D89</f>
        <v>3333.3333333333335</v>
      </c>
      <c r="G89" s="30">
        <f t="shared" si="28"/>
        <v>33333.333333333336</v>
      </c>
      <c r="H89" s="30">
        <f t="shared" si="28"/>
        <v>100000</v>
      </c>
      <c r="I89" s="30">
        <f t="shared" si="28"/>
        <v>200000</v>
      </c>
      <c r="J89" s="30">
        <f t="shared" si="28"/>
        <v>400000</v>
      </c>
      <c r="K89" s="30">
        <f t="shared" si="28"/>
        <v>800000</v>
      </c>
      <c r="L89" t="s">
        <v>4461</v>
      </c>
    </row>
    <row r="90" spans="1:12" x14ac:dyDescent="0.25">
      <c r="A90" t="s">
        <v>4459</v>
      </c>
      <c r="B90" s="55" t="s">
        <v>3564</v>
      </c>
      <c r="C90">
        <v>2</v>
      </c>
      <c r="D90" s="30">
        <f t="shared" si="25"/>
        <v>4</v>
      </c>
      <c r="E90" s="55" t="s">
        <v>3564</v>
      </c>
      <c r="F90" s="30">
        <f t="shared" ref="F90:K90" si="29">F86/$D90</f>
        <v>30000</v>
      </c>
      <c r="G90" s="30">
        <f t="shared" si="29"/>
        <v>300000</v>
      </c>
      <c r="H90" s="30">
        <f t="shared" si="29"/>
        <v>900000</v>
      </c>
      <c r="I90" s="30">
        <f t="shared" si="29"/>
        <v>1800000</v>
      </c>
      <c r="J90" s="30">
        <f t="shared" si="29"/>
        <v>3600000</v>
      </c>
      <c r="K90" s="30">
        <f t="shared" si="29"/>
        <v>7200000</v>
      </c>
      <c r="L90" t="s">
        <v>4461</v>
      </c>
    </row>
    <row r="91" spans="1:12" x14ac:dyDescent="0.25">
      <c r="A91" t="s">
        <v>4459</v>
      </c>
      <c r="B91" s="55" t="s">
        <v>3564</v>
      </c>
      <c r="C91">
        <v>1</v>
      </c>
      <c r="D91" s="30">
        <f>(C91*C91/4)*4</f>
        <v>1</v>
      </c>
      <c r="E91" s="55" t="s">
        <v>3564</v>
      </c>
      <c r="F91" s="30">
        <f t="shared" ref="F91:K91" si="30">F86/$D91</f>
        <v>120000</v>
      </c>
      <c r="G91" s="30">
        <f t="shared" si="30"/>
        <v>1200000</v>
      </c>
      <c r="H91" s="30">
        <f t="shared" si="30"/>
        <v>3600000</v>
      </c>
      <c r="I91" s="30">
        <f t="shared" si="30"/>
        <v>7200000</v>
      </c>
      <c r="J91" s="30">
        <f t="shared" si="30"/>
        <v>14400000</v>
      </c>
      <c r="K91" s="30">
        <f t="shared" si="30"/>
        <v>28800000</v>
      </c>
      <c r="L91" t="s">
        <v>4461</v>
      </c>
    </row>
    <row r="92" spans="1:12" x14ac:dyDescent="0.25">
      <c r="A92" s="348" t="s">
        <v>4477</v>
      </c>
      <c r="B92" s="349">
        <f>I87/E86</f>
        <v>6.6666666666666666E-2</v>
      </c>
      <c r="C92" s="350">
        <f>B92</f>
        <v>6.6666666666666666E-2</v>
      </c>
      <c r="D92" t="s">
        <v>4479</v>
      </c>
    </row>
    <row r="93" spans="1:12" x14ac:dyDescent="0.25">
      <c r="A93" s="348"/>
      <c r="B93" s="28"/>
    </row>
    <row r="94" spans="1:12" x14ac:dyDescent="0.25">
      <c r="A94" t="s">
        <v>4463</v>
      </c>
    </row>
    <row r="95" spans="1:12" s="79" customFormat="1" ht="45" x14ac:dyDescent="0.25">
      <c r="A95" s="79" t="s">
        <v>4288</v>
      </c>
      <c r="B95" s="79" t="s">
        <v>862</v>
      </c>
      <c r="C95" s="79" t="s">
        <v>4460</v>
      </c>
      <c r="D95" s="79" t="s">
        <v>4457</v>
      </c>
      <c r="E95" s="79" t="s">
        <v>4493</v>
      </c>
      <c r="F95" s="79" t="s">
        <v>4487</v>
      </c>
      <c r="G95" s="79" t="s">
        <v>4488</v>
      </c>
      <c r="H95" s="79" t="s">
        <v>4489</v>
      </c>
      <c r="I95" s="79" t="s">
        <v>4490</v>
      </c>
      <c r="J95" s="79" t="s">
        <v>4491</v>
      </c>
      <c r="K95" s="79" t="s">
        <v>4492</v>
      </c>
      <c r="L95" s="79" t="s">
        <v>388</v>
      </c>
    </row>
    <row r="96" spans="1:12" x14ac:dyDescent="0.25">
      <c r="A96" t="s">
        <v>4458</v>
      </c>
      <c r="B96" s="55" t="s">
        <v>3564</v>
      </c>
      <c r="E96" s="29">
        <v>120000</v>
      </c>
      <c r="F96" s="30">
        <f>E96*1</f>
        <v>120000</v>
      </c>
      <c r="G96" s="30">
        <f>E96*10</f>
        <v>1200000</v>
      </c>
      <c r="H96" s="30">
        <f>E96*30</f>
        <v>3600000</v>
      </c>
      <c r="I96" s="30">
        <f>E96*60</f>
        <v>7200000</v>
      </c>
      <c r="J96" s="30">
        <f>E96*120</f>
        <v>14400000</v>
      </c>
      <c r="K96" s="30">
        <f>E96*240</f>
        <v>28800000</v>
      </c>
    </row>
    <row r="97" spans="1:12" x14ac:dyDescent="0.25">
      <c r="A97" t="s">
        <v>4459</v>
      </c>
      <c r="B97" s="30">
        <f>30*30*12</f>
        <v>10800</v>
      </c>
      <c r="C97">
        <v>30</v>
      </c>
      <c r="D97" s="30">
        <f t="shared" ref="D97:D100" si="31">(C97*C97/4)*4</f>
        <v>900</v>
      </c>
      <c r="E97" s="55" t="s">
        <v>3564</v>
      </c>
      <c r="F97" s="30">
        <f t="shared" ref="F97:K97" si="32">F96/$B97</f>
        <v>11.111111111111111</v>
      </c>
      <c r="G97" s="347">
        <f t="shared" si="32"/>
        <v>111.11111111111111</v>
      </c>
      <c r="H97" s="347">
        <f t="shared" si="32"/>
        <v>333.33333333333331</v>
      </c>
      <c r="I97" s="98">
        <f t="shared" si="32"/>
        <v>666.66666666666663</v>
      </c>
      <c r="J97" s="347">
        <f t="shared" si="32"/>
        <v>1333.3333333333333</v>
      </c>
      <c r="K97" s="347">
        <f t="shared" si="32"/>
        <v>2666.6666666666665</v>
      </c>
      <c r="L97" t="s">
        <v>4476</v>
      </c>
    </row>
    <row r="98" spans="1:12" x14ac:dyDescent="0.25">
      <c r="A98" t="s">
        <v>4459</v>
      </c>
      <c r="B98" s="30">
        <f t="shared" ref="B98:B99" si="33">30*30*12</f>
        <v>10800</v>
      </c>
      <c r="C98">
        <v>10</v>
      </c>
      <c r="D98" s="30">
        <f t="shared" si="31"/>
        <v>100</v>
      </c>
      <c r="E98" s="55" t="s">
        <v>3564</v>
      </c>
      <c r="F98" s="30">
        <f>F96/$D98</f>
        <v>1200</v>
      </c>
      <c r="G98" s="347">
        <f>G96/$B98</f>
        <v>111.11111111111111</v>
      </c>
      <c r="H98" s="347">
        <f>H96/$B98</f>
        <v>333.33333333333331</v>
      </c>
      <c r="I98" s="347">
        <f>I96/$B98</f>
        <v>666.66666666666663</v>
      </c>
      <c r="J98" s="347">
        <f>J96/$B98</f>
        <v>1333.3333333333333</v>
      </c>
      <c r="K98" s="347">
        <f>K96/$B98</f>
        <v>2666.6666666666665</v>
      </c>
      <c r="L98" t="s">
        <v>4462</v>
      </c>
    </row>
    <row r="99" spans="1:12" x14ac:dyDescent="0.25">
      <c r="A99" t="s">
        <v>4459</v>
      </c>
      <c r="B99" s="30">
        <f t="shared" si="33"/>
        <v>10800</v>
      </c>
      <c r="C99">
        <v>6</v>
      </c>
      <c r="D99" s="30">
        <f t="shared" si="31"/>
        <v>36</v>
      </c>
      <c r="E99" s="55" t="s">
        <v>3564</v>
      </c>
      <c r="F99" s="30">
        <f>F96/$D99</f>
        <v>3333.3333333333335</v>
      </c>
      <c r="G99" s="347">
        <f>G96/$B99</f>
        <v>111.11111111111111</v>
      </c>
      <c r="H99" s="347">
        <f>H96/$B99</f>
        <v>333.33333333333331</v>
      </c>
      <c r="I99" s="347">
        <f>I96/$B99</f>
        <v>666.66666666666663</v>
      </c>
      <c r="J99" s="347">
        <f>J96/$B99</f>
        <v>1333.3333333333333</v>
      </c>
      <c r="K99" s="347">
        <f>K96/$B99</f>
        <v>2666.6666666666665</v>
      </c>
      <c r="L99" t="s">
        <v>4462</v>
      </c>
    </row>
    <row r="100" spans="1:12" x14ac:dyDescent="0.25">
      <c r="A100" t="s">
        <v>4459</v>
      </c>
      <c r="B100" s="55" t="s">
        <v>3564</v>
      </c>
      <c r="C100">
        <v>2</v>
      </c>
      <c r="D100" s="30">
        <f t="shared" si="31"/>
        <v>4</v>
      </c>
      <c r="E100" s="55" t="s">
        <v>3564</v>
      </c>
      <c r="F100" s="30">
        <f>F96/$D100</f>
        <v>30000</v>
      </c>
      <c r="G100" s="30">
        <f>G96/$D100</f>
        <v>300000</v>
      </c>
      <c r="H100" s="30">
        <f>H96/$D100</f>
        <v>900000</v>
      </c>
      <c r="I100" s="30">
        <f>I96/$D100</f>
        <v>1800000</v>
      </c>
      <c r="J100" s="30">
        <f>J96/$D100</f>
        <v>3600000</v>
      </c>
      <c r="K100" s="30">
        <f>$F96/$D100</f>
        <v>30000</v>
      </c>
      <c r="L100" t="s">
        <v>4462</v>
      </c>
    </row>
    <row r="101" spans="1:12" x14ac:dyDescent="0.25">
      <c r="A101" t="s">
        <v>4459</v>
      </c>
      <c r="B101" s="55" t="s">
        <v>3564</v>
      </c>
      <c r="C101">
        <v>1</v>
      </c>
      <c r="D101" s="30">
        <f>(C101*C101/4)*4</f>
        <v>1</v>
      </c>
      <c r="E101" s="55" t="s">
        <v>3564</v>
      </c>
      <c r="F101" s="30">
        <f>F96/$D101</f>
        <v>120000</v>
      </c>
      <c r="G101" s="30">
        <f>G96/$D101</f>
        <v>1200000</v>
      </c>
      <c r="H101" s="30">
        <f>H96/$D101</f>
        <v>3600000</v>
      </c>
      <c r="I101" s="30">
        <f>I96/$D101</f>
        <v>7200000</v>
      </c>
      <c r="J101" s="30">
        <f>J96/$D101</f>
        <v>14400000</v>
      </c>
      <c r="K101" s="30">
        <f>$F96/$D101</f>
        <v>120000</v>
      </c>
      <c r="L101" t="s">
        <v>4462</v>
      </c>
    </row>
    <row r="102" spans="1:12" x14ac:dyDescent="0.25">
      <c r="A102" s="348" t="s">
        <v>4478</v>
      </c>
      <c r="B102" s="349">
        <f>I97/E96</f>
        <v>5.5555555555555549E-3</v>
      </c>
      <c r="C102" s="350">
        <f>B102</f>
        <v>5.5555555555555549E-3</v>
      </c>
      <c r="D102" t="s">
        <v>4479</v>
      </c>
    </row>
    <row r="104" spans="1:12" x14ac:dyDescent="0.25">
      <c r="A104" t="s">
        <v>4464</v>
      </c>
    </row>
    <row r="105" spans="1:12" ht="45" x14ac:dyDescent="0.25">
      <c r="A105" s="79" t="s">
        <v>4288</v>
      </c>
      <c r="B105" s="79" t="s">
        <v>862</v>
      </c>
      <c r="C105" s="79" t="s">
        <v>4460</v>
      </c>
      <c r="D105" s="79" t="s">
        <v>4457</v>
      </c>
      <c r="E105" s="79" t="s">
        <v>4493</v>
      </c>
      <c r="F105" s="79" t="s">
        <v>4487</v>
      </c>
      <c r="G105" s="79" t="s">
        <v>4488</v>
      </c>
      <c r="H105" s="79" t="s">
        <v>4489</v>
      </c>
      <c r="I105" s="79" t="s">
        <v>4490</v>
      </c>
      <c r="J105" s="79" t="s">
        <v>4491</v>
      </c>
      <c r="K105" s="79" t="s">
        <v>4492</v>
      </c>
      <c r="L105" s="79" t="s">
        <v>388</v>
      </c>
    </row>
    <row r="106" spans="1:12" x14ac:dyDescent="0.25">
      <c r="A106" t="s">
        <v>4458</v>
      </c>
      <c r="B106" s="55" t="s">
        <v>3564</v>
      </c>
      <c r="E106" s="29">
        <v>1200000</v>
      </c>
      <c r="F106" s="30">
        <f>E106*1</f>
        <v>1200000</v>
      </c>
      <c r="G106" s="30">
        <f>E106*10</f>
        <v>12000000</v>
      </c>
      <c r="H106" s="30">
        <f>E106*30</f>
        <v>36000000</v>
      </c>
      <c r="I106" s="30">
        <f>E106*60</f>
        <v>72000000</v>
      </c>
      <c r="J106" s="30">
        <f>E106*120</f>
        <v>144000000</v>
      </c>
      <c r="K106" s="30">
        <f>E106*240</f>
        <v>288000000</v>
      </c>
    </row>
    <row r="107" spans="1:12" x14ac:dyDescent="0.25">
      <c r="A107" t="s">
        <v>4459</v>
      </c>
      <c r="B107" s="55" t="s">
        <v>3564</v>
      </c>
      <c r="C107">
        <v>30</v>
      </c>
      <c r="D107" s="30">
        <f t="shared" ref="D107:D110" si="34">(C107*C107/4)*4</f>
        <v>900</v>
      </c>
      <c r="E107" s="55" t="s">
        <v>3564</v>
      </c>
      <c r="F107" s="30">
        <f t="shared" ref="F107:K107" si="35">F106/$D107</f>
        <v>1333.3333333333333</v>
      </c>
      <c r="G107" s="30">
        <f t="shared" si="35"/>
        <v>13333.333333333334</v>
      </c>
      <c r="H107" s="30">
        <f t="shared" si="35"/>
        <v>40000</v>
      </c>
      <c r="I107" s="98">
        <f t="shared" si="35"/>
        <v>80000</v>
      </c>
      <c r="J107" s="30">
        <f t="shared" si="35"/>
        <v>160000</v>
      </c>
      <c r="K107" s="30">
        <f t="shared" si="35"/>
        <v>320000</v>
      </c>
      <c r="L107" t="s">
        <v>4476</v>
      </c>
    </row>
    <row r="108" spans="1:12" x14ac:dyDescent="0.25">
      <c r="A108" t="s">
        <v>4459</v>
      </c>
      <c r="B108" s="55" t="s">
        <v>3564</v>
      </c>
      <c r="C108">
        <v>10</v>
      </c>
      <c r="D108" s="30">
        <f t="shared" si="34"/>
        <v>100</v>
      </c>
      <c r="E108" s="55" t="s">
        <v>3564</v>
      </c>
      <c r="F108" s="30">
        <f t="shared" ref="F108:K108" si="36">F106/$D108</f>
        <v>12000</v>
      </c>
      <c r="G108" s="30">
        <f t="shared" si="36"/>
        <v>120000</v>
      </c>
      <c r="H108" s="30">
        <f t="shared" si="36"/>
        <v>360000</v>
      </c>
      <c r="I108" s="30">
        <f t="shared" si="36"/>
        <v>720000</v>
      </c>
      <c r="J108" s="30">
        <f t="shared" si="36"/>
        <v>1440000</v>
      </c>
      <c r="K108" s="30">
        <f t="shared" si="36"/>
        <v>2880000</v>
      </c>
      <c r="L108" t="s">
        <v>4461</v>
      </c>
    </row>
    <row r="109" spans="1:12" x14ac:dyDescent="0.25">
      <c r="A109" t="s">
        <v>4459</v>
      </c>
      <c r="B109" s="55" t="s">
        <v>3564</v>
      </c>
      <c r="C109">
        <v>6</v>
      </c>
      <c r="D109" s="30">
        <f t="shared" si="34"/>
        <v>36</v>
      </c>
      <c r="E109" s="55" t="s">
        <v>3564</v>
      </c>
      <c r="F109" s="30">
        <f t="shared" ref="F109:K109" si="37">F106/$D109</f>
        <v>33333.333333333336</v>
      </c>
      <c r="G109" s="30">
        <f t="shared" si="37"/>
        <v>333333.33333333331</v>
      </c>
      <c r="H109" s="30">
        <f t="shared" si="37"/>
        <v>1000000</v>
      </c>
      <c r="I109" s="30">
        <f t="shared" si="37"/>
        <v>2000000</v>
      </c>
      <c r="J109" s="30">
        <f t="shared" si="37"/>
        <v>4000000</v>
      </c>
      <c r="K109" s="30">
        <f t="shared" si="37"/>
        <v>8000000</v>
      </c>
      <c r="L109" t="s">
        <v>4461</v>
      </c>
    </row>
    <row r="110" spans="1:12" x14ac:dyDescent="0.25">
      <c r="A110" t="s">
        <v>4459</v>
      </c>
      <c r="B110" s="55" t="s">
        <v>3564</v>
      </c>
      <c r="C110">
        <v>2</v>
      </c>
      <c r="D110" s="30">
        <f t="shared" si="34"/>
        <v>4</v>
      </c>
      <c r="E110" s="55" t="s">
        <v>3564</v>
      </c>
      <c r="F110" s="30">
        <f t="shared" ref="F110:K110" si="38">F106/$D110</f>
        <v>300000</v>
      </c>
      <c r="G110" s="30">
        <f t="shared" si="38"/>
        <v>3000000</v>
      </c>
      <c r="H110" s="30">
        <f t="shared" si="38"/>
        <v>9000000</v>
      </c>
      <c r="I110" s="30">
        <f t="shared" si="38"/>
        <v>18000000</v>
      </c>
      <c r="J110" s="30">
        <f t="shared" si="38"/>
        <v>36000000</v>
      </c>
      <c r="K110" s="30">
        <f t="shared" si="38"/>
        <v>72000000</v>
      </c>
      <c r="L110" t="s">
        <v>4461</v>
      </c>
    </row>
    <row r="111" spans="1:12" x14ac:dyDescent="0.25">
      <c r="A111" t="s">
        <v>4459</v>
      </c>
      <c r="B111" s="55" t="s">
        <v>3564</v>
      </c>
      <c r="C111">
        <v>1</v>
      </c>
      <c r="D111" s="30">
        <f>(C111*C111/4)*4</f>
        <v>1</v>
      </c>
      <c r="E111" s="55" t="s">
        <v>3564</v>
      </c>
      <c r="F111" s="30">
        <f t="shared" ref="F111:K111" si="39">F106/$D111</f>
        <v>1200000</v>
      </c>
      <c r="G111" s="30">
        <f t="shared" si="39"/>
        <v>12000000</v>
      </c>
      <c r="H111" s="30">
        <f t="shared" si="39"/>
        <v>36000000</v>
      </c>
      <c r="I111" s="30">
        <f t="shared" si="39"/>
        <v>72000000</v>
      </c>
      <c r="J111" s="30">
        <f t="shared" si="39"/>
        <v>144000000</v>
      </c>
      <c r="K111" s="30">
        <f t="shared" si="39"/>
        <v>288000000</v>
      </c>
      <c r="L111" t="s">
        <v>4461</v>
      </c>
    </row>
    <row r="112" spans="1:12" x14ac:dyDescent="0.25">
      <c r="A112" s="348" t="s">
        <v>4477</v>
      </c>
      <c r="B112" s="349">
        <f>I107/E106</f>
        <v>6.6666666666666666E-2</v>
      </c>
      <c r="C112" s="350">
        <f>B112</f>
        <v>6.6666666666666666E-2</v>
      </c>
      <c r="D112" t="s">
        <v>4479</v>
      </c>
    </row>
    <row r="113" spans="1:12" x14ac:dyDescent="0.25">
      <c r="A113" s="348"/>
      <c r="B113" s="28"/>
    </row>
    <row r="114" spans="1:12" x14ac:dyDescent="0.25">
      <c r="A114" t="s">
        <v>4463</v>
      </c>
    </row>
    <row r="115" spans="1:12" s="79" customFormat="1" ht="45" x14ac:dyDescent="0.25">
      <c r="A115" s="79" t="s">
        <v>4288</v>
      </c>
      <c r="B115" s="79" t="s">
        <v>862</v>
      </c>
      <c r="C115" s="79" t="s">
        <v>4460</v>
      </c>
      <c r="D115" s="79" t="s">
        <v>4457</v>
      </c>
      <c r="E115" s="79" t="s">
        <v>4493</v>
      </c>
      <c r="F115" s="79" t="s">
        <v>4487</v>
      </c>
      <c r="G115" s="79" t="s">
        <v>4488</v>
      </c>
      <c r="H115" s="79" t="s">
        <v>4489</v>
      </c>
      <c r="I115" s="79" t="s">
        <v>4490</v>
      </c>
      <c r="J115" s="79" t="s">
        <v>4491</v>
      </c>
      <c r="K115" s="79" t="s">
        <v>4492</v>
      </c>
      <c r="L115" s="79" t="s">
        <v>388</v>
      </c>
    </row>
    <row r="116" spans="1:12" x14ac:dyDescent="0.25">
      <c r="A116" t="s">
        <v>4458</v>
      </c>
      <c r="B116" s="55" t="s">
        <v>3564</v>
      </c>
      <c r="E116" s="29">
        <v>1200000</v>
      </c>
      <c r="F116" s="30">
        <f>E116*1</f>
        <v>1200000</v>
      </c>
      <c r="G116" s="30">
        <f>E116*10</f>
        <v>12000000</v>
      </c>
      <c r="H116" s="30">
        <f>E116*30</f>
        <v>36000000</v>
      </c>
      <c r="I116" s="30">
        <f>E116*60</f>
        <v>72000000</v>
      </c>
      <c r="J116" s="30">
        <f>E116*120</f>
        <v>144000000</v>
      </c>
      <c r="K116" s="30">
        <f>E116*240</f>
        <v>288000000</v>
      </c>
    </row>
    <row r="117" spans="1:12" x14ac:dyDescent="0.25">
      <c r="A117" t="s">
        <v>4459</v>
      </c>
      <c r="B117" s="30">
        <f>30*30*12</f>
        <v>10800</v>
      </c>
      <c r="C117">
        <v>30</v>
      </c>
      <c r="D117" s="30">
        <f t="shared" ref="D117:D120" si="40">(C117*C117/4)*4</f>
        <v>900</v>
      </c>
      <c r="E117" s="55" t="s">
        <v>3564</v>
      </c>
      <c r="F117" s="30">
        <f t="shared" ref="F117:K117" si="41">F116/$B117</f>
        <v>111.11111111111111</v>
      </c>
      <c r="G117" s="347">
        <f t="shared" si="41"/>
        <v>1111.1111111111111</v>
      </c>
      <c r="H117" s="347">
        <f t="shared" si="41"/>
        <v>3333.3333333333335</v>
      </c>
      <c r="I117" s="98">
        <f t="shared" si="41"/>
        <v>6666.666666666667</v>
      </c>
      <c r="J117" s="347">
        <f t="shared" si="41"/>
        <v>13333.333333333334</v>
      </c>
      <c r="K117" s="347">
        <f t="shared" si="41"/>
        <v>26666.666666666668</v>
      </c>
      <c r="L117" t="s">
        <v>4476</v>
      </c>
    </row>
    <row r="118" spans="1:12" x14ac:dyDescent="0.25">
      <c r="A118" t="s">
        <v>4459</v>
      </c>
      <c r="B118" s="30">
        <f t="shared" ref="B118:B119" si="42">30*30*12</f>
        <v>10800</v>
      </c>
      <c r="C118">
        <v>10</v>
      </c>
      <c r="D118" s="30">
        <f t="shared" si="40"/>
        <v>100</v>
      </c>
      <c r="E118" s="55" t="s">
        <v>3564</v>
      </c>
      <c r="F118" s="30">
        <f>F116/$D118</f>
        <v>12000</v>
      </c>
      <c r="G118" s="347">
        <f>G116/$B118</f>
        <v>1111.1111111111111</v>
      </c>
      <c r="H118" s="347">
        <f>H116/$B118</f>
        <v>3333.3333333333335</v>
      </c>
      <c r="I118" s="347">
        <f>I116/$B118</f>
        <v>6666.666666666667</v>
      </c>
      <c r="J118" s="347">
        <f>J116/$B118</f>
        <v>13333.333333333334</v>
      </c>
      <c r="K118" s="347">
        <f>K116/$B118</f>
        <v>26666.666666666668</v>
      </c>
      <c r="L118" t="s">
        <v>4462</v>
      </c>
    </row>
    <row r="119" spans="1:12" x14ac:dyDescent="0.25">
      <c r="A119" t="s">
        <v>4459</v>
      </c>
      <c r="B119" s="30">
        <f t="shared" si="42"/>
        <v>10800</v>
      </c>
      <c r="C119">
        <v>6</v>
      </c>
      <c r="D119" s="30">
        <f t="shared" si="40"/>
        <v>36</v>
      </c>
      <c r="E119" s="55" t="s">
        <v>3564</v>
      </c>
      <c r="F119" s="30">
        <f>F116/$D119</f>
        <v>33333.333333333336</v>
      </c>
      <c r="G119" s="347">
        <f>G116/$B119</f>
        <v>1111.1111111111111</v>
      </c>
      <c r="H119" s="347">
        <f>H116/$B119</f>
        <v>3333.3333333333335</v>
      </c>
      <c r="I119" s="347">
        <f>I116/$B119</f>
        <v>6666.666666666667</v>
      </c>
      <c r="J119" s="347">
        <f>J116/$B119</f>
        <v>13333.333333333334</v>
      </c>
      <c r="K119" s="347">
        <f>K116/$B119</f>
        <v>26666.666666666668</v>
      </c>
      <c r="L119" t="s">
        <v>4462</v>
      </c>
    </row>
    <row r="120" spans="1:12" x14ac:dyDescent="0.25">
      <c r="A120" t="s">
        <v>4459</v>
      </c>
      <c r="B120" s="55" t="s">
        <v>3564</v>
      </c>
      <c r="C120">
        <v>2</v>
      </c>
      <c r="D120" s="30">
        <f t="shared" si="40"/>
        <v>4</v>
      </c>
      <c r="E120" s="55" t="s">
        <v>3564</v>
      </c>
      <c r="F120" s="30">
        <f>F116/$D120</f>
        <v>300000</v>
      </c>
      <c r="G120" s="30">
        <f>G116/$D120</f>
        <v>3000000</v>
      </c>
      <c r="H120" s="30">
        <f>H116/$D120</f>
        <v>9000000</v>
      </c>
      <c r="I120" s="30">
        <f>I116/$D120</f>
        <v>18000000</v>
      </c>
      <c r="J120" s="30">
        <f>J116/$D120</f>
        <v>36000000</v>
      </c>
      <c r="K120" s="30">
        <f>$F116/$D120</f>
        <v>300000</v>
      </c>
      <c r="L120" t="s">
        <v>4462</v>
      </c>
    </row>
    <row r="121" spans="1:12" x14ac:dyDescent="0.25">
      <c r="A121" t="s">
        <v>4459</v>
      </c>
      <c r="B121" s="55" t="s">
        <v>3564</v>
      </c>
      <c r="C121">
        <v>1</v>
      </c>
      <c r="D121" s="30">
        <f>(C121*C121/4)*4</f>
        <v>1</v>
      </c>
      <c r="E121" s="55" t="s">
        <v>3564</v>
      </c>
      <c r="F121" s="30">
        <f>F116/$D121</f>
        <v>1200000</v>
      </c>
      <c r="G121" s="30">
        <f>G116/$D121</f>
        <v>12000000</v>
      </c>
      <c r="H121" s="30">
        <f>H116/$D121</f>
        <v>36000000</v>
      </c>
      <c r="I121" s="30">
        <f>I116/$D121</f>
        <v>72000000</v>
      </c>
      <c r="J121" s="30">
        <f>J116/$D121</f>
        <v>144000000</v>
      </c>
      <c r="K121" s="30">
        <f>$F116/$D121</f>
        <v>1200000</v>
      </c>
      <c r="L121" t="s">
        <v>4462</v>
      </c>
    </row>
    <row r="122" spans="1:12" x14ac:dyDescent="0.25">
      <c r="A122" s="348" t="s">
        <v>4478</v>
      </c>
      <c r="B122" s="349">
        <f>I117/E116</f>
        <v>5.5555555555555558E-3</v>
      </c>
      <c r="C122" s="350">
        <f>B122</f>
        <v>5.5555555555555558E-3</v>
      </c>
      <c r="D122" t="s">
        <v>4479</v>
      </c>
    </row>
  </sheetData>
  <pageMargins left="0.7" right="0.7" top="0.75" bottom="0.75" header="0.3" footer="0.3"/>
  <pageSetup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1F7EB-DE8B-4A3F-9D94-1DEBC8D7A434}">
  <dimension ref="A2:H201"/>
  <sheetViews>
    <sheetView topLeftCell="A180" workbookViewId="0">
      <selection activeCell="A2" sqref="A2:XFD2"/>
    </sheetView>
  </sheetViews>
  <sheetFormatPr defaultRowHeight="15" x14ac:dyDescent="0.25"/>
  <cols>
    <col min="1" max="1" width="21.28515625" customWidth="1"/>
    <col min="2" max="2" width="41" customWidth="1"/>
    <col min="3" max="3" width="20.7109375" style="33" customWidth="1"/>
    <col min="4" max="4" width="11.5703125" customWidth="1"/>
    <col min="5" max="7" width="10.7109375" bestFit="1" customWidth="1"/>
  </cols>
  <sheetData>
    <row r="2" spans="1:7" s="40" customFormat="1" x14ac:dyDescent="0.25">
      <c r="A2" s="344" t="s">
        <v>4281</v>
      </c>
    </row>
    <row r="4" spans="1:7" x14ac:dyDescent="0.25">
      <c r="A4" t="s">
        <v>4282</v>
      </c>
    </row>
    <row r="6" spans="1:7" x14ac:dyDescent="0.25">
      <c r="A6" t="s">
        <v>4283</v>
      </c>
    </row>
    <row r="7" spans="1:7" x14ac:dyDescent="0.25">
      <c r="A7" t="s">
        <v>4284</v>
      </c>
    </row>
    <row r="8" spans="1:7" x14ac:dyDescent="0.25">
      <c r="A8" t="s">
        <v>4285</v>
      </c>
    </row>
    <row r="9" spans="1:7" x14ac:dyDescent="0.25">
      <c r="A9" t="s">
        <v>4286</v>
      </c>
    </row>
    <row r="10" spans="1:7" x14ac:dyDescent="0.25">
      <c r="A10" t="s">
        <v>4287</v>
      </c>
    </row>
    <row r="12" spans="1:7" x14ac:dyDescent="0.25">
      <c r="A12" s="372" t="s">
        <v>4288</v>
      </c>
      <c r="B12" s="372" t="s">
        <v>1470</v>
      </c>
      <c r="C12" s="15" t="s">
        <v>4289</v>
      </c>
      <c r="D12" s="15" t="s">
        <v>4289</v>
      </c>
      <c r="E12" s="15" t="s">
        <v>4289</v>
      </c>
      <c r="F12" s="15" t="s">
        <v>4289</v>
      </c>
      <c r="G12" s="15" t="s">
        <v>4289</v>
      </c>
    </row>
    <row r="13" spans="1:7" x14ac:dyDescent="0.25">
      <c r="A13" s="372"/>
      <c r="B13" s="372"/>
      <c r="C13" s="15" t="s">
        <v>4290</v>
      </c>
      <c r="D13" s="15" t="s">
        <v>4291</v>
      </c>
      <c r="E13" s="15" t="s">
        <v>4292</v>
      </c>
      <c r="F13" s="15" t="s">
        <v>4293</v>
      </c>
      <c r="G13" s="15" t="s">
        <v>4294</v>
      </c>
    </row>
    <row r="14" spans="1:7" x14ac:dyDescent="0.25">
      <c r="A14" s="1" t="s">
        <v>4295</v>
      </c>
      <c r="B14" s="1" t="s">
        <v>4296</v>
      </c>
      <c r="C14" s="4" t="s">
        <v>4297</v>
      </c>
      <c r="D14" s="1"/>
      <c r="E14" s="1"/>
      <c r="F14" s="1"/>
      <c r="G14" s="1"/>
    </row>
    <row r="15" spans="1:7" x14ac:dyDescent="0.25">
      <c r="A15" s="1" t="s">
        <v>4298</v>
      </c>
      <c r="B15" s="1" t="s">
        <v>4299</v>
      </c>
      <c r="C15" s="4"/>
      <c r="D15" s="1"/>
      <c r="E15" s="1"/>
      <c r="F15" s="1"/>
      <c r="G15" s="1"/>
    </row>
    <row r="16" spans="1:7" x14ac:dyDescent="0.25">
      <c r="A16" s="1" t="s">
        <v>4300</v>
      </c>
      <c r="B16" s="1" t="s">
        <v>4301</v>
      </c>
      <c r="C16" s="4"/>
      <c r="D16" s="1"/>
      <c r="E16" s="1"/>
      <c r="F16" s="1"/>
      <c r="G16" s="1"/>
    </row>
    <row r="17" spans="1:7" x14ac:dyDescent="0.25">
      <c r="A17" s="1" t="s">
        <v>4302</v>
      </c>
      <c r="B17" s="1" t="s">
        <v>4303</v>
      </c>
      <c r="C17" s="4"/>
      <c r="D17" s="1"/>
      <c r="E17" s="1"/>
      <c r="F17" s="1"/>
      <c r="G17" s="1"/>
    </row>
    <row r="18" spans="1:7" x14ac:dyDescent="0.25">
      <c r="A18" s="1" t="s">
        <v>4304</v>
      </c>
      <c r="B18" s="1" t="s">
        <v>4305</v>
      </c>
      <c r="C18" s="4"/>
      <c r="D18" s="1"/>
      <c r="E18" s="1"/>
      <c r="F18" s="1"/>
      <c r="G18" s="1"/>
    </row>
    <row r="19" spans="1:7" x14ac:dyDescent="0.25">
      <c r="A19" s="1" t="s">
        <v>4306</v>
      </c>
      <c r="B19" s="1" t="s">
        <v>4307</v>
      </c>
      <c r="C19" s="4"/>
      <c r="D19" s="1"/>
      <c r="E19" s="1"/>
      <c r="F19" s="1"/>
      <c r="G19" s="1"/>
    </row>
    <row r="20" spans="1:7" x14ac:dyDescent="0.25">
      <c r="A20" s="1" t="s">
        <v>4308</v>
      </c>
      <c r="B20" s="1" t="s">
        <v>4309</v>
      </c>
      <c r="C20" s="4"/>
      <c r="D20" s="1"/>
      <c r="E20" s="1"/>
      <c r="F20" s="1"/>
      <c r="G20" s="1"/>
    </row>
    <row r="21" spans="1:7" x14ac:dyDescent="0.25">
      <c r="A21" s="1" t="s">
        <v>4310</v>
      </c>
      <c r="B21" s="1" t="s">
        <v>4311</v>
      </c>
      <c r="C21" s="4"/>
      <c r="D21" s="1"/>
      <c r="E21" s="1"/>
      <c r="F21" s="1"/>
      <c r="G21" s="1"/>
    </row>
    <row r="22" spans="1:7" x14ac:dyDescent="0.25">
      <c r="A22" s="1" t="s">
        <v>4312</v>
      </c>
      <c r="B22" s="1"/>
      <c r="C22" s="4"/>
      <c r="D22" s="1"/>
      <c r="E22" s="1"/>
      <c r="F22" s="1"/>
      <c r="G22" s="1"/>
    </row>
    <row r="23" spans="1:7" x14ac:dyDescent="0.25">
      <c r="A23" s="1" t="s">
        <v>4313</v>
      </c>
      <c r="B23" s="1" t="s">
        <v>4314</v>
      </c>
      <c r="C23" s="4"/>
      <c r="D23" s="1"/>
      <c r="E23" s="1"/>
      <c r="F23" s="1"/>
      <c r="G23" s="1"/>
    </row>
    <row r="24" spans="1:7" x14ac:dyDescent="0.25">
      <c r="A24" s="1" t="s">
        <v>4315</v>
      </c>
      <c r="B24" s="1" t="s">
        <v>4316</v>
      </c>
      <c r="C24" s="4"/>
      <c r="D24" s="1"/>
      <c r="E24" s="1"/>
      <c r="F24" s="1"/>
      <c r="G24" s="1"/>
    </row>
    <row r="25" spans="1:7" x14ac:dyDescent="0.25">
      <c r="A25" s="1" t="s">
        <v>4317</v>
      </c>
      <c r="B25" s="1" t="s">
        <v>4318</v>
      </c>
      <c r="C25" s="4"/>
      <c r="D25" s="1"/>
      <c r="E25" s="1"/>
      <c r="F25" s="1"/>
      <c r="G25" s="1"/>
    </row>
    <row r="26" spans="1:7" x14ac:dyDescent="0.25">
      <c r="A26" s="1" t="s">
        <v>4319</v>
      </c>
      <c r="B26" s="1" t="s">
        <v>4320</v>
      </c>
      <c r="C26" s="4"/>
      <c r="D26" s="1"/>
      <c r="E26" s="1"/>
      <c r="F26" s="1"/>
      <c r="G26" s="1"/>
    </row>
    <row r="27" spans="1:7" x14ac:dyDescent="0.25">
      <c r="A27" s="1" t="s">
        <v>4321</v>
      </c>
      <c r="B27" s="1" t="s">
        <v>4322</v>
      </c>
      <c r="C27" s="4"/>
      <c r="D27" s="1"/>
      <c r="E27" s="1"/>
      <c r="F27" s="1"/>
      <c r="G27" s="1"/>
    </row>
    <row r="28" spans="1:7" x14ac:dyDescent="0.25">
      <c r="A28" s="1" t="s">
        <v>4323</v>
      </c>
      <c r="B28" s="1" t="s">
        <v>4324</v>
      </c>
      <c r="C28" s="4"/>
      <c r="D28" s="1"/>
      <c r="E28" s="1"/>
      <c r="F28" s="1"/>
      <c r="G28" s="1"/>
    </row>
    <row r="29" spans="1:7" x14ac:dyDescent="0.25">
      <c r="A29" s="1" t="s">
        <v>4312</v>
      </c>
      <c r="B29" s="1"/>
      <c r="C29" s="4"/>
      <c r="D29" s="1"/>
      <c r="E29" s="1"/>
      <c r="F29" s="1"/>
      <c r="G29" s="1"/>
    </row>
    <row r="30" spans="1:7" x14ac:dyDescent="0.25">
      <c r="A30" s="1" t="s">
        <v>4325</v>
      </c>
      <c r="B30" s="1" t="s">
        <v>4326</v>
      </c>
      <c r="C30" s="4"/>
      <c r="D30" s="1"/>
      <c r="E30" s="1"/>
      <c r="F30" s="1"/>
      <c r="G30" s="1"/>
    </row>
    <row r="31" spans="1:7" x14ac:dyDescent="0.25">
      <c r="A31" s="1" t="s">
        <v>4327</v>
      </c>
      <c r="B31" s="1" t="s">
        <v>4328</v>
      </c>
      <c r="C31" s="4"/>
      <c r="D31" s="1"/>
      <c r="E31" s="1"/>
      <c r="F31" s="1"/>
      <c r="G31" s="1"/>
    </row>
    <row r="32" spans="1:7" x14ac:dyDescent="0.25">
      <c r="A32" s="1" t="s">
        <v>4329</v>
      </c>
      <c r="B32" s="1" t="s">
        <v>4330</v>
      </c>
      <c r="C32" s="4"/>
      <c r="D32" s="1"/>
      <c r="E32" s="1"/>
      <c r="F32" s="1"/>
      <c r="G32" s="1"/>
    </row>
    <row r="33" spans="1:7" x14ac:dyDescent="0.25">
      <c r="A33" s="1" t="s">
        <v>4331</v>
      </c>
      <c r="B33" s="1" t="s">
        <v>4332</v>
      </c>
      <c r="C33" s="4"/>
      <c r="D33" s="1"/>
      <c r="E33" s="1"/>
      <c r="F33" s="1"/>
      <c r="G33" s="1"/>
    </row>
    <row r="34" spans="1:7" x14ac:dyDescent="0.25">
      <c r="A34" s="1" t="s">
        <v>4312</v>
      </c>
      <c r="B34" s="1"/>
      <c r="C34" s="4"/>
      <c r="D34" s="1"/>
      <c r="E34" s="1"/>
      <c r="F34" s="1"/>
      <c r="G34" s="1"/>
    </row>
    <row r="35" spans="1:7" x14ac:dyDescent="0.25">
      <c r="A35" s="1" t="s">
        <v>4333</v>
      </c>
      <c r="B35" s="1" t="s">
        <v>4334</v>
      </c>
      <c r="C35" s="4"/>
      <c r="D35" s="1"/>
      <c r="E35" s="1"/>
      <c r="F35" s="1"/>
      <c r="G35" s="1"/>
    </row>
    <row r="36" spans="1:7" x14ac:dyDescent="0.25">
      <c r="A36" s="1" t="s">
        <v>4335</v>
      </c>
      <c r="B36" s="1" t="s">
        <v>4336</v>
      </c>
      <c r="C36" s="4"/>
      <c r="D36" s="1"/>
      <c r="E36" s="1"/>
      <c r="F36" s="1"/>
      <c r="G36" s="1"/>
    </row>
    <row r="38" spans="1:7" s="40" customFormat="1" x14ac:dyDescent="0.25">
      <c r="A38" s="344" t="s">
        <v>4337</v>
      </c>
    </row>
    <row r="40" spans="1:7" x14ac:dyDescent="0.25">
      <c r="A40" t="s">
        <v>4282</v>
      </c>
    </row>
    <row r="42" spans="1:7" x14ac:dyDescent="0.25">
      <c r="A42" t="s">
        <v>4338</v>
      </c>
    </row>
    <row r="43" spans="1:7" x14ac:dyDescent="0.25">
      <c r="A43" t="s">
        <v>4339</v>
      </c>
    </row>
    <row r="44" spans="1:7" x14ac:dyDescent="0.25">
      <c r="A44" t="s">
        <v>4285</v>
      </c>
    </row>
    <row r="45" spans="1:7" x14ac:dyDescent="0.25">
      <c r="A45" t="s">
        <v>4286</v>
      </c>
    </row>
    <row r="46" spans="1:7" x14ac:dyDescent="0.25">
      <c r="A46" t="s">
        <v>4287</v>
      </c>
    </row>
    <row r="48" spans="1:7" x14ac:dyDescent="0.25">
      <c r="A48" s="372" t="s">
        <v>4288</v>
      </c>
      <c r="B48" s="372" t="s">
        <v>1470</v>
      </c>
      <c r="C48" s="15" t="s">
        <v>4289</v>
      </c>
      <c r="D48" s="15" t="s">
        <v>4289</v>
      </c>
      <c r="E48" s="15" t="s">
        <v>4289</v>
      </c>
      <c r="F48" s="15" t="s">
        <v>4289</v>
      </c>
      <c r="G48" s="15" t="s">
        <v>4289</v>
      </c>
    </row>
    <row r="49" spans="1:7" x14ac:dyDescent="0.25">
      <c r="A49" s="372"/>
      <c r="B49" s="372"/>
      <c r="C49" s="15" t="s">
        <v>4290</v>
      </c>
      <c r="D49" s="15" t="s">
        <v>4291</v>
      </c>
      <c r="E49" s="15" t="s">
        <v>4292</v>
      </c>
      <c r="F49" s="15" t="s">
        <v>4293</v>
      </c>
      <c r="G49" s="15" t="s">
        <v>4294</v>
      </c>
    </row>
    <row r="50" spans="1:7" x14ac:dyDescent="0.25">
      <c r="A50" s="1" t="s">
        <v>4340</v>
      </c>
      <c r="B50" s="1" t="s">
        <v>4296</v>
      </c>
      <c r="C50" s="4" t="s">
        <v>4297</v>
      </c>
      <c r="D50" s="1"/>
      <c r="E50" s="1"/>
      <c r="F50" s="1"/>
      <c r="G50" s="1"/>
    </row>
    <row r="51" spans="1:7" x14ac:dyDescent="0.25">
      <c r="A51" s="1" t="s">
        <v>4341</v>
      </c>
      <c r="B51" s="1" t="s">
        <v>4299</v>
      </c>
      <c r="C51" s="4"/>
      <c r="D51" s="1"/>
      <c r="E51" s="1"/>
      <c r="F51" s="1"/>
      <c r="G51" s="1"/>
    </row>
    <row r="52" spans="1:7" x14ac:dyDescent="0.25">
      <c r="A52" s="1" t="s">
        <v>4342</v>
      </c>
      <c r="B52" s="1" t="s">
        <v>4301</v>
      </c>
      <c r="C52" s="4"/>
      <c r="D52" s="1"/>
      <c r="E52" s="1"/>
      <c r="F52" s="1"/>
      <c r="G52" s="1"/>
    </row>
    <row r="53" spans="1:7" x14ac:dyDescent="0.25">
      <c r="A53" s="1" t="s">
        <v>4343</v>
      </c>
      <c r="B53" s="1" t="s">
        <v>4303</v>
      </c>
      <c r="C53" s="4"/>
      <c r="D53" s="1"/>
      <c r="E53" s="1"/>
      <c r="F53" s="1"/>
      <c r="G53" s="1"/>
    </row>
    <row r="54" spans="1:7" x14ac:dyDescent="0.25">
      <c r="A54" s="1" t="s">
        <v>4344</v>
      </c>
      <c r="B54" s="1" t="s">
        <v>4305</v>
      </c>
      <c r="C54" s="4"/>
      <c r="D54" s="1"/>
      <c r="E54" s="1"/>
      <c r="F54" s="1"/>
      <c r="G54" s="1"/>
    </row>
    <row r="55" spans="1:7" x14ac:dyDescent="0.25">
      <c r="A55" s="1" t="s">
        <v>4345</v>
      </c>
      <c r="B55" s="1" t="s">
        <v>4307</v>
      </c>
      <c r="C55" s="4"/>
      <c r="D55" s="1"/>
      <c r="E55" s="1"/>
      <c r="F55" s="1"/>
      <c r="G55" s="1"/>
    </row>
    <row r="56" spans="1:7" x14ac:dyDescent="0.25">
      <c r="A56" s="1" t="s">
        <v>4346</v>
      </c>
      <c r="B56" s="1" t="s">
        <v>4309</v>
      </c>
      <c r="C56" s="4"/>
      <c r="D56" s="1"/>
      <c r="E56" s="1"/>
      <c r="F56" s="1"/>
      <c r="G56" s="1"/>
    </row>
    <row r="57" spans="1:7" x14ac:dyDescent="0.25">
      <c r="A57" s="1" t="s">
        <v>4347</v>
      </c>
      <c r="B57" s="1" t="s">
        <v>4311</v>
      </c>
      <c r="C57" s="4"/>
      <c r="D57" s="1"/>
      <c r="E57" s="1"/>
      <c r="F57" s="1"/>
      <c r="G57" s="1"/>
    </row>
    <row r="58" spans="1:7" x14ac:dyDescent="0.25">
      <c r="A58" s="1" t="s">
        <v>4312</v>
      </c>
      <c r="B58" s="1"/>
      <c r="C58" s="4"/>
      <c r="D58" s="1"/>
      <c r="E58" s="1"/>
      <c r="F58" s="1"/>
      <c r="G58" s="1"/>
    </row>
    <row r="59" spans="1:7" x14ac:dyDescent="0.25">
      <c r="A59" s="1" t="s">
        <v>4348</v>
      </c>
      <c r="B59" s="1" t="s">
        <v>4314</v>
      </c>
      <c r="C59" s="4"/>
      <c r="D59" s="1"/>
      <c r="E59" s="1"/>
      <c r="F59" s="1"/>
      <c r="G59" s="1"/>
    </row>
    <row r="60" spans="1:7" x14ac:dyDescent="0.25">
      <c r="A60" s="1" t="s">
        <v>4349</v>
      </c>
      <c r="B60" s="1" t="s">
        <v>4316</v>
      </c>
      <c r="C60" s="4"/>
      <c r="D60" s="1"/>
      <c r="E60" s="1"/>
      <c r="F60" s="1"/>
      <c r="G60" s="1"/>
    </row>
    <row r="61" spans="1:7" x14ac:dyDescent="0.25">
      <c r="A61" s="1" t="s">
        <v>4350</v>
      </c>
      <c r="B61" s="1" t="s">
        <v>4318</v>
      </c>
      <c r="C61" s="4"/>
      <c r="D61" s="1"/>
      <c r="E61" s="1"/>
      <c r="F61" s="1"/>
      <c r="G61" s="1"/>
    </row>
    <row r="62" spans="1:7" x14ac:dyDescent="0.25">
      <c r="A62" s="1" t="s">
        <v>4351</v>
      </c>
      <c r="B62" s="1" t="s">
        <v>4320</v>
      </c>
      <c r="C62" s="4"/>
      <c r="D62" s="1"/>
      <c r="E62" s="1"/>
      <c r="F62" s="1"/>
      <c r="G62" s="1"/>
    </row>
    <row r="63" spans="1:7" x14ac:dyDescent="0.25">
      <c r="A63" s="1" t="s">
        <v>4352</v>
      </c>
      <c r="B63" s="1" t="s">
        <v>4322</v>
      </c>
      <c r="C63" s="4"/>
      <c r="D63" s="1"/>
      <c r="E63" s="1"/>
      <c r="F63" s="1"/>
      <c r="G63" s="1"/>
    </row>
    <row r="64" spans="1:7" x14ac:dyDescent="0.25">
      <c r="A64" s="1" t="s">
        <v>4353</v>
      </c>
      <c r="B64" s="1" t="s">
        <v>4324</v>
      </c>
      <c r="C64" s="4"/>
      <c r="D64" s="1"/>
      <c r="E64" s="1"/>
      <c r="F64" s="1"/>
      <c r="G64" s="1"/>
    </row>
    <row r="65" spans="1:7" x14ac:dyDescent="0.25">
      <c r="A65" s="1" t="s">
        <v>4312</v>
      </c>
      <c r="B65" s="1"/>
      <c r="C65" s="4"/>
      <c r="D65" s="1"/>
      <c r="E65" s="1"/>
      <c r="F65" s="1"/>
      <c r="G65" s="1"/>
    </row>
    <row r="66" spans="1:7" x14ac:dyDescent="0.25">
      <c r="A66" s="1" t="s">
        <v>4354</v>
      </c>
      <c r="B66" s="1" t="s">
        <v>4326</v>
      </c>
      <c r="C66" s="4"/>
      <c r="D66" s="1"/>
      <c r="E66" s="1"/>
      <c r="F66" s="1"/>
      <c r="G66" s="1"/>
    </row>
    <row r="67" spans="1:7" x14ac:dyDescent="0.25">
      <c r="A67" s="1" t="s">
        <v>4355</v>
      </c>
      <c r="B67" s="1" t="s">
        <v>4328</v>
      </c>
      <c r="C67" s="4"/>
      <c r="D67" s="1"/>
      <c r="E67" s="1"/>
      <c r="F67" s="1"/>
      <c r="G67" s="1"/>
    </row>
    <row r="68" spans="1:7" x14ac:dyDescent="0.25">
      <c r="A68" s="1" t="s">
        <v>4356</v>
      </c>
      <c r="B68" s="1" t="s">
        <v>4330</v>
      </c>
      <c r="C68" s="4"/>
      <c r="D68" s="1"/>
      <c r="E68" s="1"/>
      <c r="F68" s="1"/>
      <c r="G68" s="1"/>
    </row>
    <row r="69" spans="1:7" x14ac:dyDescent="0.25">
      <c r="A69" s="1" t="s">
        <v>4357</v>
      </c>
      <c r="B69" s="1" t="s">
        <v>4332</v>
      </c>
      <c r="C69" s="4"/>
      <c r="D69" s="1"/>
      <c r="E69" s="1"/>
      <c r="F69" s="1"/>
      <c r="G69" s="1"/>
    </row>
    <row r="70" spans="1:7" x14ac:dyDescent="0.25">
      <c r="A70" s="1" t="s">
        <v>4312</v>
      </c>
      <c r="B70" s="1"/>
      <c r="C70" s="4"/>
      <c r="D70" s="1"/>
      <c r="E70" s="1"/>
      <c r="F70" s="1"/>
      <c r="G70" s="1"/>
    </row>
    <row r="71" spans="1:7" x14ac:dyDescent="0.25">
      <c r="A71" s="1" t="s">
        <v>4358</v>
      </c>
      <c r="B71" s="1" t="s">
        <v>4334</v>
      </c>
      <c r="C71" s="4"/>
      <c r="D71" s="1"/>
      <c r="E71" s="1"/>
      <c r="F71" s="1"/>
      <c r="G71" s="1"/>
    </row>
    <row r="72" spans="1:7" x14ac:dyDescent="0.25">
      <c r="A72" s="1" t="s">
        <v>4359</v>
      </c>
      <c r="B72" s="1" t="s">
        <v>4336</v>
      </c>
      <c r="C72" s="4"/>
      <c r="D72" s="1"/>
      <c r="E72" s="1"/>
      <c r="F72" s="1"/>
      <c r="G72" s="1"/>
    </row>
    <row r="74" spans="1:7" s="40" customFormat="1" x14ac:dyDescent="0.25">
      <c r="A74" s="344" t="s">
        <v>4360</v>
      </c>
    </row>
    <row r="76" spans="1:7" x14ac:dyDescent="0.25">
      <c r="A76" t="s">
        <v>4361</v>
      </c>
    </row>
    <row r="78" spans="1:7" x14ac:dyDescent="0.25">
      <c r="A78" t="s">
        <v>4362</v>
      </c>
    </row>
    <row r="79" spans="1:7" x14ac:dyDescent="0.25">
      <c r="A79" t="s">
        <v>4363</v>
      </c>
    </row>
    <row r="80" spans="1:7" x14ac:dyDescent="0.25">
      <c r="A80" t="s">
        <v>4285</v>
      </c>
    </row>
    <row r="81" spans="1:7" x14ac:dyDescent="0.25">
      <c r="A81" t="s">
        <v>4286</v>
      </c>
    </row>
    <row r="82" spans="1:7" x14ac:dyDescent="0.25">
      <c r="A82" t="s">
        <v>4287</v>
      </c>
    </row>
    <row r="84" spans="1:7" x14ac:dyDescent="0.25">
      <c r="A84" s="372" t="s">
        <v>4288</v>
      </c>
      <c r="B84" s="372" t="s">
        <v>1470</v>
      </c>
      <c r="C84" s="15" t="s">
        <v>4289</v>
      </c>
      <c r="D84" s="15" t="s">
        <v>4289</v>
      </c>
      <c r="E84" s="15" t="s">
        <v>4289</v>
      </c>
      <c r="F84" s="15" t="s">
        <v>4289</v>
      </c>
      <c r="G84" s="15" t="s">
        <v>4289</v>
      </c>
    </row>
    <row r="85" spans="1:7" x14ac:dyDescent="0.25">
      <c r="A85" s="372"/>
      <c r="B85" s="372"/>
      <c r="C85" s="15" t="s">
        <v>4290</v>
      </c>
      <c r="D85" s="15" t="s">
        <v>4291</v>
      </c>
      <c r="E85" s="15" t="s">
        <v>4292</v>
      </c>
      <c r="F85" s="15" t="s">
        <v>4293</v>
      </c>
      <c r="G85" s="15" t="s">
        <v>4294</v>
      </c>
    </row>
    <row r="86" spans="1:7" x14ac:dyDescent="0.25">
      <c r="A86" s="1" t="s">
        <v>4364</v>
      </c>
      <c r="B86" s="1" t="s">
        <v>4296</v>
      </c>
      <c r="C86" s="4" t="s">
        <v>4297</v>
      </c>
      <c r="D86" s="1"/>
      <c r="E86" s="1"/>
      <c r="F86" s="1"/>
      <c r="G86" s="1"/>
    </row>
    <row r="87" spans="1:7" x14ac:dyDescent="0.25">
      <c r="A87" s="1" t="s">
        <v>4365</v>
      </c>
      <c r="B87" s="1" t="s">
        <v>4299</v>
      </c>
      <c r="C87" s="4"/>
      <c r="D87" s="1"/>
      <c r="E87" s="1"/>
      <c r="F87" s="1"/>
      <c r="G87" s="1"/>
    </row>
    <row r="88" spans="1:7" x14ac:dyDescent="0.25">
      <c r="A88" s="1" t="s">
        <v>4366</v>
      </c>
      <c r="B88" s="1" t="s">
        <v>4301</v>
      </c>
      <c r="C88" s="4"/>
      <c r="D88" s="1"/>
      <c r="E88" s="1"/>
      <c r="F88" s="1"/>
      <c r="G88" s="1"/>
    </row>
    <row r="89" spans="1:7" x14ac:dyDescent="0.25">
      <c r="A89" s="1" t="s">
        <v>4367</v>
      </c>
      <c r="B89" s="1" t="s">
        <v>4303</v>
      </c>
      <c r="C89" s="4"/>
      <c r="D89" s="1"/>
      <c r="E89" s="1"/>
      <c r="F89" s="1"/>
      <c r="G89" s="1"/>
    </row>
    <row r="90" spans="1:7" x14ac:dyDescent="0.25">
      <c r="A90" s="1" t="s">
        <v>4368</v>
      </c>
      <c r="B90" s="1" t="s">
        <v>4305</v>
      </c>
      <c r="C90" s="4"/>
      <c r="D90" s="1"/>
      <c r="E90" s="1"/>
      <c r="F90" s="1"/>
      <c r="G90" s="1"/>
    </row>
    <row r="91" spans="1:7" x14ac:dyDescent="0.25">
      <c r="A91" s="1" t="s">
        <v>4369</v>
      </c>
      <c r="B91" s="1" t="s">
        <v>4307</v>
      </c>
      <c r="C91" s="4"/>
      <c r="D91" s="1"/>
      <c r="E91" s="1"/>
      <c r="F91" s="1"/>
      <c r="G91" s="1"/>
    </row>
    <row r="92" spans="1:7" x14ac:dyDescent="0.25">
      <c r="A92" s="1" t="s">
        <v>4370</v>
      </c>
      <c r="B92" s="1" t="s">
        <v>4309</v>
      </c>
      <c r="C92" s="4"/>
      <c r="D92" s="1"/>
      <c r="E92" s="1"/>
      <c r="F92" s="1"/>
      <c r="G92" s="1"/>
    </row>
    <row r="93" spans="1:7" x14ac:dyDescent="0.25">
      <c r="A93" s="1" t="s">
        <v>4371</v>
      </c>
      <c r="B93" s="1" t="s">
        <v>4311</v>
      </c>
      <c r="C93" s="4"/>
      <c r="D93" s="1"/>
      <c r="E93" s="1"/>
      <c r="F93" s="1"/>
      <c r="G93" s="1"/>
    </row>
    <row r="94" spans="1:7" x14ac:dyDescent="0.25">
      <c r="A94" s="1" t="s">
        <v>4312</v>
      </c>
      <c r="B94" s="1"/>
      <c r="C94" s="4"/>
      <c r="D94" s="1"/>
      <c r="E94" s="1"/>
      <c r="F94" s="1"/>
      <c r="G94" s="1"/>
    </row>
    <row r="95" spans="1:7" x14ac:dyDescent="0.25">
      <c r="A95" s="1" t="s">
        <v>4372</v>
      </c>
      <c r="B95" s="1" t="s">
        <v>4314</v>
      </c>
      <c r="C95" s="4"/>
      <c r="D95" s="1"/>
      <c r="E95" s="1"/>
      <c r="F95" s="1"/>
      <c r="G95" s="1"/>
    </row>
    <row r="96" spans="1:7" x14ac:dyDescent="0.25">
      <c r="A96" s="1" t="s">
        <v>4373</v>
      </c>
      <c r="B96" s="1" t="s">
        <v>4316</v>
      </c>
      <c r="C96" s="4"/>
      <c r="D96" s="1"/>
      <c r="E96" s="1"/>
      <c r="F96" s="1"/>
      <c r="G96" s="1"/>
    </row>
    <row r="97" spans="1:7" x14ac:dyDescent="0.25">
      <c r="A97" s="1" t="s">
        <v>4374</v>
      </c>
      <c r="B97" s="1" t="s">
        <v>4318</v>
      </c>
      <c r="C97" s="4"/>
      <c r="D97" s="1"/>
      <c r="E97" s="1"/>
      <c r="F97" s="1"/>
      <c r="G97" s="1"/>
    </row>
    <row r="98" spans="1:7" x14ac:dyDescent="0.25">
      <c r="A98" s="1" t="s">
        <v>4375</v>
      </c>
      <c r="B98" s="1" t="s">
        <v>4320</v>
      </c>
      <c r="C98" s="4"/>
      <c r="D98" s="1"/>
      <c r="E98" s="1"/>
      <c r="F98" s="1"/>
      <c r="G98" s="1"/>
    </row>
    <row r="99" spans="1:7" x14ac:dyDescent="0.25">
      <c r="A99" s="1" t="s">
        <v>4376</v>
      </c>
      <c r="B99" s="1" t="s">
        <v>4322</v>
      </c>
      <c r="C99" s="4"/>
      <c r="D99" s="1"/>
      <c r="E99" s="1"/>
      <c r="F99" s="1"/>
      <c r="G99" s="1"/>
    </row>
    <row r="100" spans="1:7" x14ac:dyDescent="0.25">
      <c r="A100" s="1" t="s">
        <v>4377</v>
      </c>
      <c r="B100" s="1" t="s">
        <v>4324</v>
      </c>
      <c r="C100" s="4"/>
      <c r="D100" s="1"/>
      <c r="E100" s="1"/>
      <c r="F100" s="1"/>
      <c r="G100" s="1"/>
    </row>
    <row r="101" spans="1:7" x14ac:dyDescent="0.25">
      <c r="A101" s="1" t="s">
        <v>4312</v>
      </c>
      <c r="B101" s="1"/>
      <c r="C101" s="4"/>
      <c r="D101" s="1"/>
      <c r="E101" s="1"/>
      <c r="F101" s="1"/>
      <c r="G101" s="1"/>
    </row>
    <row r="102" spans="1:7" x14ac:dyDescent="0.25">
      <c r="A102" s="1" t="s">
        <v>4378</v>
      </c>
      <c r="B102" s="1" t="s">
        <v>4326</v>
      </c>
      <c r="C102" s="4"/>
      <c r="D102" s="1"/>
      <c r="E102" s="1"/>
      <c r="F102" s="1"/>
      <c r="G102" s="1"/>
    </row>
    <row r="103" spans="1:7" x14ac:dyDescent="0.25">
      <c r="A103" s="1" t="s">
        <v>4379</v>
      </c>
      <c r="B103" s="1" t="s">
        <v>4328</v>
      </c>
      <c r="C103" s="4"/>
      <c r="D103" s="1"/>
      <c r="E103" s="1"/>
      <c r="F103" s="1"/>
      <c r="G103" s="1"/>
    </row>
    <row r="104" spans="1:7" x14ac:dyDescent="0.25">
      <c r="A104" s="1" t="s">
        <v>4380</v>
      </c>
      <c r="B104" s="1" t="s">
        <v>4330</v>
      </c>
      <c r="C104" s="4"/>
      <c r="D104" s="1"/>
      <c r="E104" s="1"/>
      <c r="F104" s="1"/>
      <c r="G104" s="1"/>
    </row>
    <row r="105" spans="1:7" x14ac:dyDescent="0.25">
      <c r="A105" s="1" t="s">
        <v>4381</v>
      </c>
      <c r="B105" s="1" t="s">
        <v>4332</v>
      </c>
      <c r="C105" s="4"/>
      <c r="D105" s="1"/>
      <c r="E105" s="1"/>
      <c r="F105" s="1"/>
      <c r="G105" s="1"/>
    </row>
    <row r="106" spans="1:7" x14ac:dyDescent="0.25">
      <c r="A106" s="1" t="s">
        <v>4312</v>
      </c>
      <c r="B106" s="1"/>
      <c r="C106" s="4"/>
      <c r="D106" s="1"/>
      <c r="E106" s="1"/>
      <c r="F106" s="1"/>
      <c r="G106" s="1"/>
    </row>
    <row r="107" spans="1:7" x14ac:dyDescent="0.25">
      <c r="A107" s="1" t="s">
        <v>4382</v>
      </c>
      <c r="B107" s="1" t="s">
        <v>4334</v>
      </c>
      <c r="C107" s="4"/>
      <c r="D107" s="1"/>
      <c r="E107" s="1"/>
      <c r="F107" s="1"/>
      <c r="G107" s="1"/>
    </row>
    <row r="108" spans="1:7" x14ac:dyDescent="0.25">
      <c r="A108" s="1" t="s">
        <v>4383</v>
      </c>
      <c r="B108" s="1" t="s">
        <v>4336</v>
      </c>
      <c r="C108" s="4"/>
      <c r="D108" s="1"/>
      <c r="E108" s="1"/>
      <c r="F108" s="1"/>
      <c r="G108" s="1"/>
    </row>
    <row r="110" spans="1:7" s="40" customFormat="1" x14ac:dyDescent="0.25">
      <c r="A110" s="344" t="s">
        <v>4384</v>
      </c>
    </row>
    <row r="112" spans="1:7" x14ac:dyDescent="0.25">
      <c r="A112" t="s">
        <v>4385</v>
      </c>
    </row>
    <row r="114" spans="1:8" x14ac:dyDescent="0.25">
      <c r="A114" t="s">
        <v>4386</v>
      </c>
    </row>
    <row r="115" spans="1:8" x14ac:dyDescent="0.25">
      <c r="A115" t="s">
        <v>4387</v>
      </c>
    </row>
    <row r="116" spans="1:8" x14ac:dyDescent="0.25">
      <c r="A116" t="s">
        <v>4286</v>
      </c>
    </row>
    <row r="117" spans="1:8" x14ac:dyDescent="0.25">
      <c r="A117" t="s">
        <v>4287</v>
      </c>
    </row>
    <row r="119" spans="1:8" x14ac:dyDescent="0.25">
      <c r="A119" t="s">
        <v>4388</v>
      </c>
    </row>
    <row r="121" spans="1:8" x14ac:dyDescent="0.25">
      <c r="A121" s="28" t="s">
        <v>4389</v>
      </c>
    </row>
    <row r="123" spans="1:8" x14ac:dyDescent="0.25">
      <c r="A123" s="15" t="s">
        <v>4390</v>
      </c>
      <c r="B123" s="15" t="s">
        <v>4391</v>
      </c>
      <c r="C123" s="15" t="s">
        <v>4390</v>
      </c>
      <c r="D123" s="15" t="s">
        <v>4289</v>
      </c>
      <c r="E123" s="15" t="s">
        <v>4289</v>
      </c>
      <c r="F123" s="15" t="s">
        <v>4289</v>
      </c>
      <c r="G123" s="15" t="s">
        <v>4289</v>
      </c>
      <c r="H123" s="15" t="s">
        <v>4289</v>
      </c>
    </row>
    <row r="124" spans="1:8" x14ac:dyDescent="0.25">
      <c r="A124" s="15" t="s">
        <v>4288</v>
      </c>
      <c r="B124" s="15" t="s">
        <v>4392</v>
      </c>
      <c r="C124" s="15" t="s">
        <v>4393</v>
      </c>
      <c r="D124" s="15" t="s">
        <v>4290</v>
      </c>
      <c r="E124" s="15" t="s">
        <v>4291</v>
      </c>
      <c r="F124" s="15" t="s">
        <v>4292</v>
      </c>
      <c r="G124" s="15" t="s">
        <v>4293</v>
      </c>
      <c r="H124" s="15" t="s">
        <v>4294</v>
      </c>
    </row>
    <row r="125" spans="1:8" x14ac:dyDescent="0.25">
      <c r="A125" s="1"/>
      <c r="B125" s="1"/>
      <c r="C125" s="15" t="s">
        <v>4394</v>
      </c>
      <c r="D125" s="1"/>
      <c r="E125" s="1"/>
      <c r="F125" s="1"/>
      <c r="G125" s="1"/>
      <c r="H125" s="1"/>
    </row>
    <row r="126" spans="1:8" x14ac:dyDescent="0.25">
      <c r="A126" s="1" t="s">
        <v>4395</v>
      </c>
      <c r="B126" s="1"/>
      <c r="C126" s="4"/>
      <c r="D126" s="1" t="s">
        <v>4297</v>
      </c>
      <c r="E126" s="1"/>
      <c r="F126" s="1"/>
      <c r="G126" s="1"/>
      <c r="H126" s="1"/>
    </row>
    <row r="127" spans="1:8" x14ac:dyDescent="0.25">
      <c r="A127" s="1" t="s">
        <v>4396</v>
      </c>
      <c r="B127" s="1"/>
      <c r="C127" s="4"/>
      <c r="D127" s="1"/>
      <c r="E127" s="1"/>
      <c r="F127" s="1"/>
      <c r="G127" s="1"/>
      <c r="H127" s="1"/>
    </row>
    <row r="128" spans="1:8" x14ac:dyDescent="0.25">
      <c r="A128" s="1" t="s">
        <v>4397</v>
      </c>
      <c r="B128" s="1"/>
      <c r="C128" s="4"/>
      <c r="D128" s="1"/>
      <c r="E128" s="1"/>
      <c r="F128" s="1"/>
      <c r="G128" s="1"/>
      <c r="H128" s="1"/>
    </row>
    <row r="130" spans="1:8" x14ac:dyDescent="0.25">
      <c r="A130" s="28" t="s">
        <v>4398</v>
      </c>
    </row>
    <row r="132" spans="1:8" x14ac:dyDescent="0.25">
      <c r="A132" s="15" t="s">
        <v>4399</v>
      </c>
      <c r="B132" s="15" t="s">
        <v>4391</v>
      </c>
      <c r="C132" s="15" t="s">
        <v>4399</v>
      </c>
      <c r="D132" s="15" t="s">
        <v>4289</v>
      </c>
      <c r="E132" s="15" t="s">
        <v>4289</v>
      </c>
      <c r="F132" s="15" t="s">
        <v>4289</v>
      </c>
      <c r="G132" s="15" t="s">
        <v>4289</v>
      </c>
      <c r="H132" s="15" t="s">
        <v>4289</v>
      </c>
    </row>
    <row r="133" spans="1:8" x14ac:dyDescent="0.25">
      <c r="A133" s="15" t="s">
        <v>4288</v>
      </c>
      <c r="B133" s="15" t="s">
        <v>4392</v>
      </c>
      <c r="C133" s="15" t="s">
        <v>4393</v>
      </c>
      <c r="D133" s="15" t="s">
        <v>4290</v>
      </c>
      <c r="E133" s="15" t="s">
        <v>4291</v>
      </c>
      <c r="F133" s="15" t="s">
        <v>4292</v>
      </c>
      <c r="G133" s="15" t="s">
        <v>4293</v>
      </c>
      <c r="H133" s="15" t="s">
        <v>4294</v>
      </c>
    </row>
    <row r="134" spans="1:8" x14ac:dyDescent="0.25">
      <c r="A134" s="1"/>
      <c r="B134" s="1"/>
      <c r="C134" s="15" t="s">
        <v>4394</v>
      </c>
      <c r="D134" s="1"/>
      <c r="E134" s="1"/>
      <c r="F134" s="1"/>
      <c r="G134" s="1"/>
      <c r="H134" s="1"/>
    </row>
    <row r="135" spans="1:8" x14ac:dyDescent="0.25">
      <c r="A135" s="1" t="s">
        <v>4395</v>
      </c>
      <c r="B135" s="1"/>
      <c r="C135" s="4"/>
      <c r="D135" s="1" t="s">
        <v>4297</v>
      </c>
      <c r="E135" s="1"/>
      <c r="F135" s="1"/>
      <c r="G135" s="1"/>
      <c r="H135" s="1"/>
    </row>
    <row r="136" spans="1:8" x14ac:dyDescent="0.25">
      <c r="A136" s="1" t="s">
        <v>4396</v>
      </c>
      <c r="B136" s="1"/>
      <c r="C136" s="4"/>
      <c r="D136" s="1"/>
      <c r="E136" s="1"/>
      <c r="F136" s="1"/>
      <c r="G136" s="1"/>
      <c r="H136" s="1"/>
    </row>
    <row r="137" spans="1:8" x14ac:dyDescent="0.25">
      <c r="A137" s="1" t="s">
        <v>4397</v>
      </c>
      <c r="B137" s="1"/>
      <c r="C137" s="4"/>
      <c r="D137" s="1"/>
      <c r="E137" s="1"/>
      <c r="F137" s="1"/>
      <c r="G137" s="1"/>
      <c r="H137" s="1"/>
    </row>
    <row r="139" spans="1:8" s="40" customFormat="1" x14ac:dyDescent="0.25">
      <c r="A139" s="344" t="s">
        <v>4400</v>
      </c>
    </row>
    <row r="141" spans="1:8" x14ac:dyDescent="0.25">
      <c r="A141" t="s">
        <v>4401</v>
      </c>
    </row>
    <row r="143" spans="1:8" x14ac:dyDescent="0.25">
      <c r="A143" t="s">
        <v>4402</v>
      </c>
    </row>
    <row r="144" spans="1:8" x14ac:dyDescent="0.25">
      <c r="A144" t="s">
        <v>4403</v>
      </c>
    </row>
    <row r="145" spans="1:8" x14ac:dyDescent="0.25">
      <c r="A145" t="s">
        <v>4285</v>
      </c>
    </row>
    <row r="146" spans="1:8" x14ac:dyDescent="0.25">
      <c r="A146" t="s">
        <v>4286</v>
      </c>
    </row>
    <row r="147" spans="1:8" x14ac:dyDescent="0.25">
      <c r="A147" t="s">
        <v>4287</v>
      </c>
    </row>
    <row r="149" spans="1:8" x14ac:dyDescent="0.25">
      <c r="A149" s="28" t="s">
        <v>4389</v>
      </c>
    </row>
    <row r="151" spans="1:8" x14ac:dyDescent="0.25">
      <c r="A151" s="15" t="s">
        <v>4390</v>
      </c>
      <c r="B151" s="15" t="s">
        <v>4404</v>
      </c>
      <c r="C151" s="15" t="s">
        <v>4390</v>
      </c>
      <c r="D151" s="15" t="s">
        <v>4289</v>
      </c>
      <c r="E151" s="15" t="s">
        <v>4289</v>
      </c>
      <c r="F151" s="15" t="s">
        <v>4289</v>
      </c>
      <c r="G151" s="15" t="s">
        <v>4289</v>
      </c>
      <c r="H151" s="15" t="s">
        <v>4289</v>
      </c>
    </row>
    <row r="152" spans="1:8" x14ac:dyDescent="0.25">
      <c r="A152" s="15" t="s">
        <v>4288</v>
      </c>
      <c r="B152" s="15" t="s">
        <v>4392</v>
      </c>
      <c r="C152" s="15" t="s">
        <v>4393</v>
      </c>
      <c r="D152" s="15" t="s">
        <v>4290</v>
      </c>
      <c r="E152" s="15" t="s">
        <v>4291</v>
      </c>
      <c r="F152" s="15" t="s">
        <v>4292</v>
      </c>
      <c r="G152" s="15" t="s">
        <v>4293</v>
      </c>
      <c r="H152" s="15" t="s">
        <v>4294</v>
      </c>
    </row>
    <row r="153" spans="1:8" x14ac:dyDescent="0.25">
      <c r="A153" s="1"/>
      <c r="B153" s="1"/>
      <c r="C153" s="15" t="s">
        <v>4394</v>
      </c>
      <c r="D153" s="1"/>
      <c r="E153" s="1"/>
      <c r="F153" s="1"/>
      <c r="G153" s="1"/>
      <c r="H153" s="1"/>
    </row>
    <row r="154" spans="1:8" x14ac:dyDescent="0.25">
      <c r="A154" s="1" t="s">
        <v>4405</v>
      </c>
      <c r="B154" s="1"/>
      <c r="C154" s="4"/>
      <c r="D154" s="1" t="s">
        <v>4297</v>
      </c>
      <c r="E154" s="1"/>
      <c r="F154" s="1"/>
      <c r="G154" s="1"/>
      <c r="H154" s="1"/>
    </row>
    <row r="155" spans="1:8" x14ac:dyDescent="0.25">
      <c r="A155" s="1" t="s">
        <v>4406</v>
      </c>
      <c r="B155" s="1"/>
      <c r="C155" s="4"/>
      <c r="D155" s="1"/>
      <c r="E155" s="1"/>
      <c r="F155" s="1"/>
      <c r="G155" s="1"/>
      <c r="H155" s="1"/>
    </row>
    <row r="156" spans="1:8" x14ac:dyDescent="0.25">
      <c r="A156" s="1" t="s">
        <v>4407</v>
      </c>
      <c r="B156" s="1"/>
      <c r="C156" s="4"/>
      <c r="D156" s="1"/>
      <c r="E156" s="1"/>
      <c r="F156" s="1"/>
      <c r="G156" s="1"/>
      <c r="H156" s="1"/>
    </row>
    <row r="157" spans="1:8" x14ac:dyDescent="0.25">
      <c r="A157" s="1" t="s">
        <v>4408</v>
      </c>
      <c r="B157" s="1"/>
      <c r="C157" s="4"/>
      <c r="D157" s="1"/>
      <c r="E157" s="1"/>
      <c r="F157" s="1"/>
      <c r="G157" s="1"/>
      <c r="H157" s="1"/>
    </row>
    <row r="158" spans="1:8" x14ac:dyDescent="0.25">
      <c r="A158" s="1" t="s">
        <v>4409</v>
      </c>
      <c r="B158" s="1"/>
      <c r="C158" s="4"/>
      <c r="D158" s="1"/>
      <c r="E158" s="1"/>
      <c r="F158" s="1"/>
      <c r="G158" s="1"/>
      <c r="H158" s="1"/>
    </row>
    <row r="159" spans="1:8" x14ac:dyDescent="0.25">
      <c r="A159" s="1" t="s">
        <v>4410</v>
      </c>
      <c r="B159" s="1"/>
      <c r="C159" s="4"/>
      <c r="D159" s="1"/>
      <c r="E159" s="1"/>
      <c r="F159" s="1"/>
      <c r="G159" s="1"/>
      <c r="H159" s="1"/>
    </row>
    <row r="160" spans="1:8" x14ac:dyDescent="0.25">
      <c r="A160" s="1" t="s">
        <v>4411</v>
      </c>
      <c r="B160" s="1"/>
      <c r="C160" s="4"/>
      <c r="D160" s="1"/>
      <c r="E160" s="1"/>
      <c r="F160" s="1"/>
      <c r="G160" s="1"/>
      <c r="H160" s="1"/>
    </row>
    <row r="162" spans="1:8" x14ac:dyDescent="0.25">
      <c r="A162" s="28" t="s">
        <v>4398</v>
      </c>
    </row>
    <row r="164" spans="1:8" x14ac:dyDescent="0.25">
      <c r="A164" s="15" t="s">
        <v>4399</v>
      </c>
      <c r="B164" s="15" t="s">
        <v>4404</v>
      </c>
      <c r="C164" s="15" t="s">
        <v>4399</v>
      </c>
      <c r="D164" s="15" t="s">
        <v>4289</v>
      </c>
      <c r="E164" s="15" t="s">
        <v>4289</v>
      </c>
      <c r="F164" s="15" t="s">
        <v>4289</v>
      </c>
      <c r="G164" s="15" t="s">
        <v>4289</v>
      </c>
      <c r="H164" s="15" t="s">
        <v>4289</v>
      </c>
    </row>
    <row r="165" spans="1:8" x14ac:dyDescent="0.25">
      <c r="A165" s="15" t="s">
        <v>4288</v>
      </c>
      <c r="B165" s="15" t="s">
        <v>4392</v>
      </c>
      <c r="C165" s="15" t="s">
        <v>4393</v>
      </c>
      <c r="D165" s="15" t="s">
        <v>4290</v>
      </c>
      <c r="E165" s="15" t="s">
        <v>4291</v>
      </c>
      <c r="F165" s="15" t="s">
        <v>4292</v>
      </c>
      <c r="G165" s="15" t="s">
        <v>4293</v>
      </c>
      <c r="H165" s="15" t="s">
        <v>4294</v>
      </c>
    </row>
    <row r="166" spans="1:8" x14ac:dyDescent="0.25">
      <c r="A166" s="1"/>
      <c r="B166" s="1"/>
      <c r="C166" s="15" t="s">
        <v>4394</v>
      </c>
      <c r="D166" s="1"/>
      <c r="E166" s="1"/>
      <c r="F166" s="1"/>
      <c r="G166" s="1"/>
      <c r="H166" s="1"/>
    </row>
    <row r="167" spans="1:8" x14ac:dyDescent="0.25">
      <c r="A167" s="1" t="s">
        <v>4405</v>
      </c>
      <c r="B167" s="1"/>
      <c r="C167" s="4"/>
      <c r="D167" s="1" t="s">
        <v>4297</v>
      </c>
      <c r="E167" s="1"/>
      <c r="F167" s="1"/>
      <c r="G167" s="1"/>
      <c r="H167" s="1"/>
    </row>
    <row r="168" spans="1:8" x14ac:dyDescent="0.25">
      <c r="A168" s="1" t="s">
        <v>4406</v>
      </c>
      <c r="B168" s="1"/>
      <c r="C168" s="4"/>
      <c r="D168" s="1"/>
      <c r="E168" s="1"/>
      <c r="F168" s="1"/>
      <c r="G168" s="1"/>
      <c r="H168" s="1"/>
    </row>
    <row r="169" spans="1:8" x14ac:dyDescent="0.25">
      <c r="A169" s="1" t="s">
        <v>4407</v>
      </c>
      <c r="B169" s="1"/>
      <c r="C169" s="4"/>
      <c r="D169" s="1"/>
      <c r="E169" s="1"/>
      <c r="F169" s="1"/>
      <c r="G169" s="1"/>
      <c r="H169" s="1"/>
    </row>
    <row r="170" spans="1:8" x14ac:dyDescent="0.25">
      <c r="A170" s="1" t="s">
        <v>4408</v>
      </c>
      <c r="B170" s="1"/>
      <c r="C170" s="4"/>
      <c r="D170" s="1"/>
      <c r="E170" s="1"/>
      <c r="F170" s="1"/>
      <c r="G170" s="1"/>
      <c r="H170" s="1"/>
    </row>
    <row r="171" spans="1:8" x14ac:dyDescent="0.25">
      <c r="A171" s="1" t="s">
        <v>4409</v>
      </c>
      <c r="B171" s="1"/>
      <c r="C171" s="4"/>
      <c r="D171" s="1"/>
      <c r="E171" s="1"/>
      <c r="F171" s="1"/>
      <c r="G171" s="1"/>
      <c r="H171" s="1"/>
    </row>
    <row r="172" spans="1:8" x14ac:dyDescent="0.25">
      <c r="A172" s="1" t="s">
        <v>4410</v>
      </c>
      <c r="B172" s="1"/>
      <c r="C172" s="4"/>
      <c r="D172" s="1"/>
      <c r="E172" s="1"/>
      <c r="F172" s="1"/>
      <c r="G172" s="1"/>
      <c r="H172" s="1"/>
    </row>
    <row r="173" spans="1:8" x14ac:dyDescent="0.25">
      <c r="A173" s="1" t="s">
        <v>4411</v>
      </c>
      <c r="B173" s="1"/>
      <c r="C173" s="4"/>
      <c r="D173" s="1"/>
      <c r="E173" s="1"/>
      <c r="F173" s="1"/>
      <c r="G173" s="1"/>
      <c r="H173" s="1"/>
    </row>
    <row r="175" spans="1:8" x14ac:dyDescent="0.25">
      <c r="A175" s="343" t="s">
        <v>4412</v>
      </c>
    </row>
    <row r="177" spans="1:8" x14ac:dyDescent="0.25">
      <c r="A177" t="s">
        <v>4413</v>
      </c>
    </row>
    <row r="179" spans="1:8" x14ac:dyDescent="0.25">
      <c r="A179" t="s">
        <v>4414</v>
      </c>
    </row>
    <row r="180" spans="1:8" x14ac:dyDescent="0.25">
      <c r="A180" t="s">
        <v>4403</v>
      </c>
    </row>
    <row r="181" spans="1:8" x14ac:dyDescent="0.25">
      <c r="A181" t="s">
        <v>4285</v>
      </c>
    </row>
    <row r="182" spans="1:8" x14ac:dyDescent="0.25">
      <c r="A182" t="s">
        <v>4286</v>
      </c>
    </row>
    <row r="183" spans="1:8" x14ac:dyDescent="0.25">
      <c r="A183" t="s">
        <v>4287</v>
      </c>
    </row>
    <row r="185" spans="1:8" x14ac:dyDescent="0.25">
      <c r="A185" s="28" t="s">
        <v>4389</v>
      </c>
    </row>
    <row r="187" spans="1:8" x14ac:dyDescent="0.25">
      <c r="A187" s="15" t="s">
        <v>4390</v>
      </c>
      <c r="B187" s="15" t="s">
        <v>4415</v>
      </c>
      <c r="C187" s="15" t="s">
        <v>4390</v>
      </c>
      <c r="D187" s="15" t="s">
        <v>4289</v>
      </c>
      <c r="E187" s="15" t="s">
        <v>4289</v>
      </c>
      <c r="F187" s="15" t="s">
        <v>4289</v>
      </c>
      <c r="G187" s="15" t="s">
        <v>4289</v>
      </c>
      <c r="H187" s="15" t="s">
        <v>4289</v>
      </c>
    </row>
    <row r="188" spans="1:8" x14ac:dyDescent="0.25">
      <c r="A188" s="15" t="s">
        <v>4288</v>
      </c>
      <c r="B188" s="15" t="s">
        <v>4392</v>
      </c>
      <c r="C188" s="15" t="s">
        <v>4393</v>
      </c>
      <c r="D188" s="15" t="s">
        <v>4290</v>
      </c>
      <c r="E188" s="15" t="s">
        <v>4291</v>
      </c>
      <c r="F188" s="15" t="s">
        <v>4292</v>
      </c>
      <c r="G188" s="15" t="s">
        <v>4293</v>
      </c>
      <c r="H188" s="15" t="s">
        <v>4294</v>
      </c>
    </row>
    <row r="189" spans="1:8" x14ac:dyDescent="0.25">
      <c r="A189" s="1"/>
      <c r="B189" s="1"/>
      <c r="C189" s="15" t="s">
        <v>4394</v>
      </c>
      <c r="D189" s="1"/>
      <c r="E189" s="1"/>
      <c r="F189" s="1"/>
      <c r="G189" s="1"/>
      <c r="H189" s="1"/>
    </row>
    <row r="190" spans="1:8" x14ac:dyDescent="0.25">
      <c r="A190" s="1" t="s">
        <v>4416</v>
      </c>
      <c r="B190" s="1"/>
      <c r="C190" s="4"/>
      <c r="D190" s="1" t="s">
        <v>4297</v>
      </c>
      <c r="E190" s="1"/>
      <c r="F190" s="1"/>
      <c r="G190" s="1"/>
      <c r="H190" s="1"/>
    </row>
    <row r="191" spans="1:8" x14ac:dyDescent="0.25">
      <c r="A191" s="1" t="s">
        <v>4417</v>
      </c>
      <c r="B191" s="1"/>
      <c r="C191" s="4"/>
      <c r="D191" s="1"/>
      <c r="E191" s="1"/>
      <c r="F191" s="1"/>
      <c r="G191" s="1"/>
      <c r="H191" s="1"/>
    </row>
    <row r="192" spans="1:8" x14ac:dyDescent="0.25">
      <c r="A192" s="1" t="s">
        <v>4418</v>
      </c>
      <c r="B192" s="1"/>
      <c r="C192" s="4"/>
      <c r="D192" s="1"/>
      <c r="E192" s="1"/>
      <c r="F192" s="1"/>
      <c r="G192" s="1"/>
      <c r="H192" s="1"/>
    </row>
    <row r="194" spans="1:8" x14ac:dyDescent="0.25">
      <c r="A194" s="28" t="s">
        <v>4398</v>
      </c>
    </row>
    <row r="196" spans="1:8" x14ac:dyDescent="0.25">
      <c r="A196" s="15" t="s">
        <v>4399</v>
      </c>
      <c r="B196" s="15" t="s">
        <v>4415</v>
      </c>
      <c r="C196" s="15" t="s">
        <v>4399</v>
      </c>
      <c r="D196" s="15" t="s">
        <v>4289</v>
      </c>
      <c r="E196" s="15" t="s">
        <v>4289</v>
      </c>
      <c r="F196" s="15" t="s">
        <v>4289</v>
      </c>
      <c r="G196" s="15" t="s">
        <v>4289</v>
      </c>
      <c r="H196" s="15" t="s">
        <v>4289</v>
      </c>
    </row>
    <row r="197" spans="1:8" x14ac:dyDescent="0.25">
      <c r="A197" s="15" t="s">
        <v>4288</v>
      </c>
      <c r="B197" s="15" t="s">
        <v>4392</v>
      </c>
      <c r="C197" s="15" t="s">
        <v>4393</v>
      </c>
      <c r="D197" s="15" t="s">
        <v>4290</v>
      </c>
      <c r="E197" s="15" t="s">
        <v>4291</v>
      </c>
      <c r="F197" s="15" t="s">
        <v>4292</v>
      </c>
      <c r="G197" s="15" t="s">
        <v>4293</v>
      </c>
      <c r="H197" s="15" t="s">
        <v>4294</v>
      </c>
    </row>
    <row r="198" spans="1:8" x14ac:dyDescent="0.25">
      <c r="A198" s="1"/>
      <c r="B198" s="1"/>
      <c r="C198" s="15" t="s">
        <v>4394</v>
      </c>
      <c r="D198" s="1"/>
      <c r="E198" s="1"/>
      <c r="F198" s="1"/>
      <c r="G198" s="1"/>
      <c r="H198" s="1"/>
    </row>
    <row r="199" spans="1:8" x14ac:dyDescent="0.25">
      <c r="A199" s="1" t="s">
        <v>4416</v>
      </c>
      <c r="B199" s="1"/>
      <c r="C199" s="4"/>
      <c r="D199" s="1" t="s">
        <v>4297</v>
      </c>
      <c r="E199" s="1"/>
      <c r="F199" s="1"/>
      <c r="G199" s="1"/>
      <c r="H199" s="1"/>
    </row>
    <row r="200" spans="1:8" x14ac:dyDescent="0.25">
      <c r="A200" s="1" t="s">
        <v>4417</v>
      </c>
      <c r="B200" s="1"/>
      <c r="C200" s="4"/>
      <c r="D200" s="1"/>
      <c r="E200" s="1"/>
      <c r="F200" s="1"/>
      <c r="G200" s="1"/>
      <c r="H200" s="1"/>
    </row>
    <row r="201" spans="1:8" x14ac:dyDescent="0.25">
      <c r="A201" s="1" t="s">
        <v>4418</v>
      </c>
      <c r="B201" s="1"/>
      <c r="C201" s="4"/>
      <c r="D201" s="1"/>
      <c r="E201" s="1"/>
      <c r="F201" s="1"/>
      <c r="G201" s="1"/>
      <c r="H201" s="1"/>
    </row>
  </sheetData>
  <mergeCells count="6">
    <mergeCell ref="A12:A13"/>
    <mergeCell ref="B12:B13"/>
    <mergeCell ref="A48:A49"/>
    <mergeCell ref="B48:B49"/>
    <mergeCell ref="A84:A85"/>
    <mergeCell ref="B84:B8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76AFD-A2B1-46EF-888A-97B6E956C07D}">
  <dimension ref="A2:G24"/>
  <sheetViews>
    <sheetView topLeftCell="A18" zoomScaleNormal="100" workbookViewId="0">
      <selection activeCell="E25" sqref="E25"/>
    </sheetView>
  </sheetViews>
  <sheetFormatPr defaultRowHeight="15" x14ac:dyDescent="0.25"/>
  <cols>
    <col min="2" max="2" width="12.28515625" bestFit="1" customWidth="1"/>
    <col min="3" max="4" width="9.85546875" customWidth="1"/>
    <col min="5" max="6" width="11.85546875" customWidth="1"/>
    <col min="7" max="7" width="12.140625" customWidth="1"/>
  </cols>
  <sheetData>
    <row r="2" spans="1:7" x14ac:dyDescent="0.25">
      <c r="A2" t="s">
        <v>4273</v>
      </c>
    </row>
    <row r="3" spans="1:7" s="2" customFormat="1" ht="60" x14ac:dyDescent="0.25">
      <c r="A3" s="2" t="s">
        <v>4254</v>
      </c>
      <c r="B3" s="2" t="s">
        <v>4255</v>
      </c>
      <c r="C3" s="2" t="s">
        <v>4256</v>
      </c>
      <c r="D3" s="2" t="s">
        <v>4271</v>
      </c>
      <c r="E3" s="2" t="s">
        <v>4257</v>
      </c>
      <c r="F3" s="2" t="s">
        <v>4272</v>
      </c>
      <c r="G3" s="2" t="s">
        <v>1268</v>
      </c>
    </row>
    <row r="4" spans="1:7" x14ac:dyDescent="0.25">
      <c r="A4" t="s">
        <v>4258</v>
      </c>
      <c r="B4">
        <v>0</v>
      </c>
      <c r="C4" t="s">
        <v>4259</v>
      </c>
      <c r="E4" t="s">
        <v>4260</v>
      </c>
      <c r="G4" t="s">
        <v>4261</v>
      </c>
    </row>
    <row r="5" spans="1:7" x14ac:dyDescent="0.25">
      <c r="A5" t="s">
        <v>4258</v>
      </c>
      <c r="B5">
        <v>0.5</v>
      </c>
      <c r="C5" t="s">
        <v>4262</v>
      </c>
      <c r="E5" t="s">
        <v>4263</v>
      </c>
      <c r="G5" t="s">
        <v>4264</v>
      </c>
    </row>
    <row r="6" spans="1:7" x14ac:dyDescent="0.25">
      <c r="A6" t="s">
        <v>4258</v>
      </c>
      <c r="B6">
        <v>1</v>
      </c>
      <c r="C6" t="s">
        <v>4265</v>
      </c>
      <c r="E6" t="s">
        <v>4266</v>
      </c>
      <c r="G6" t="s">
        <v>4264</v>
      </c>
    </row>
    <row r="7" spans="1:7" x14ac:dyDescent="0.25">
      <c r="A7" t="s">
        <v>4258</v>
      </c>
      <c r="B7">
        <v>2</v>
      </c>
      <c r="C7" t="s">
        <v>4267</v>
      </c>
      <c r="E7" t="s">
        <v>4268</v>
      </c>
      <c r="G7" t="s">
        <v>4264</v>
      </c>
    </row>
    <row r="8" spans="1:7" x14ac:dyDescent="0.25">
      <c r="A8" t="s">
        <v>4258</v>
      </c>
      <c r="B8">
        <v>3</v>
      </c>
      <c r="C8" t="s">
        <v>4269</v>
      </c>
      <c r="E8" t="s">
        <v>4259</v>
      </c>
      <c r="G8" t="s">
        <v>4270</v>
      </c>
    </row>
    <row r="10" spans="1:7" x14ac:dyDescent="0.25">
      <c r="A10" t="str">
        <f>A4</f>
        <v>Aerosol</v>
      </c>
      <c r="B10">
        <f t="shared" ref="B10:G10" si="0">B4</f>
        <v>0</v>
      </c>
      <c r="C10" s="31">
        <f>10^3.5</f>
        <v>3162.2776601683804</v>
      </c>
      <c r="D10" s="31"/>
      <c r="E10" s="31">
        <f>10^4.3</f>
        <v>19952.623149688792</v>
      </c>
      <c r="F10" s="31"/>
      <c r="G10" t="str">
        <f t="shared" si="0"/>
        <v>Value stated in study, starting virus load</v>
      </c>
    </row>
    <row r="11" spans="1:7" x14ac:dyDescent="0.25">
      <c r="A11" t="str">
        <f t="shared" ref="A11:G11" si="1">A5</f>
        <v>Aerosol</v>
      </c>
      <c r="B11">
        <f t="shared" si="1"/>
        <v>0.5</v>
      </c>
      <c r="C11" s="31">
        <f>10^3.1</f>
        <v>1258.925411794168</v>
      </c>
      <c r="D11" s="34">
        <f>C11/C$10</f>
        <v>0.39810717055349737</v>
      </c>
      <c r="E11" s="31">
        <f>10^4.1</f>
        <v>12589.254117941671</v>
      </c>
      <c r="F11" s="34">
        <f t="shared" ref="F11:F14" si="2">E11/E$10</f>
        <v>0.63095734448019336</v>
      </c>
      <c r="G11" t="str">
        <f t="shared" si="1"/>
        <v>Visual extraction from graph</v>
      </c>
    </row>
    <row r="12" spans="1:7" x14ac:dyDescent="0.25">
      <c r="A12" t="str">
        <f t="shared" ref="A12:G12" si="3">A6</f>
        <v>Aerosol</v>
      </c>
      <c r="B12">
        <f t="shared" si="3"/>
        <v>1</v>
      </c>
      <c r="C12" s="31">
        <f>10^2.9</f>
        <v>794.32823472428208</v>
      </c>
      <c r="D12" s="34">
        <f t="shared" ref="D12:D14" si="4">C12/C$10</f>
        <v>0.25118864315095812</v>
      </c>
      <c r="E12" s="31">
        <f>10^3.8</f>
        <v>6309.5734448019384</v>
      </c>
      <c r="F12" s="34">
        <f t="shared" si="2"/>
        <v>0.31622776601683827</v>
      </c>
      <c r="G12" t="str">
        <f t="shared" si="3"/>
        <v>Visual extraction from graph</v>
      </c>
    </row>
    <row r="13" spans="1:7" x14ac:dyDescent="0.25">
      <c r="A13" t="str">
        <f t="shared" ref="A13:G13" si="5">A7</f>
        <v>Aerosol</v>
      </c>
      <c r="B13">
        <f t="shared" si="5"/>
        <v>2</v>
      </c>
      <c r="C13" s="31">
        <f>10^2.8</f>
        <v>630.95734448019323</v>
      </c>
      <c r="D13" s="34">
        <f t="shared" si="4"/>
        <v>0.19952623149688789</v>
      </c>
      <c r="E13" s="31">
        <f>10^3.7</f>
        <v>5011.8723362727324</v>
      </c>
      <c r="F13" s="34">
        <f t="shared" si="2"/>
        <v>0.25118864315095851</v>
      </c>
      <c r="G13" t="str">
        <f t="shared" si="5"/>
        <v>Visual extraction from graph</v>
      </c>
    </row>
    <row r="14" spans="1:7" x14ac:dyDescent="0.25">
      <c r="A14" t="str">
        <f t="shared" ref="A14:G14" si="6">A8</f>
        <v>Aerosol</v>
      </c>
      <c r="B14">
        <f t="shared" si="6"/>
        <v>3</v>
      </c>
      <c r="C14" s="31">
        <f>10^2.7</f>
        <v>501.18723362727269</v>
      </c>
      <c r="D14" s="34">
        <f t="shared" si="4"/>
        <v>0.15848931924611143</v>
      </c>
      <c r="E14" s="31">
        <f>10^3.5</f>
        <v>3162.2776601683804</v>
      </c>
      <c r="F14" s="34">
        <f t="shared" si="2"/>
        <v>0.15848931924611143</v>
      </c>
      <c r="G14" t="str">
        <f t="shared" si="6"/>
        <v>Value stated in study</v>
      </c>
    </row>
    <row r="16" spans="1:7" x14ac:dyDescent="0.25">
      <c r="A16" t="s">
        <v>4275</v>
      </c>
    </row>
    <row r="17" spans="1:5" x14ac:dyDescent="0.25">
      <c r="A17" t="s">
        <v>4274</v>
      </c>
    </row>
    <row r="19" spans="1:5" s="2" customFormat="1" ht="60" x14ac:dyDescent="0.25">
      <c r="A19" s="2" t="s">
        <v>4276</v>
      </c>
      <c r="B19" s="2" t="s">
        <v>4277</v>
      </c>
      <c r="C19" s="2" t="s">
        <v>4278</v>
      </c>
      <c r="D19" s="2" t="s">
        <v>4279</v>
      </c>
      <c r="E19" s="2" t="s">
        <v>4280</v>
      </c>
    </row>
    <row r="20" spans="1:5" x14ac:dyDescent="0.25">
      <c r="A20">
        <v>0</v>
      </c>
      <c r="B20">
        <v>100</v>
      </c>
      <c r="C20">
        <v>100</v>
      </c>
      <c r="D20">
        <v>100</v>
      </c>
      <c r="E20">
        <v>100</v>
      </c>
    </row>
    <row r="21" spans="1:5" x14ac:dyDescent="0.25">
      <c r="A21">
        <v>30</v>
      </c>
      <c r="B21">
        <v>50</v>
      </c>
      <c r="C21">
        <v>78</v>
      </c>
      <c r="D21">
        <v>90</v>
      </c>
      <c r="E21">
        <v>62</v>
      </c>
    </row>
    <row r="22" spans="1:5" x14ac:dyDescent="0.25">
      <c r="A22">
        <v>60</v>
      </c>
      <c r="B22">
        <v>25</v>
      </c>
      <c r="C22">
        <v>59</v>
      </c>
      <c r="D22">
        <v>80</v>
      </c>
      <c r="E22">
        <v>39</v>
      </c>
    </row>
    <row r="23" spans="1:5" x14ac:dyDescent="0.25">
      <c r="A23">
        <v>90</v>
      </c>
      <c r="B23">
        <v>12</v>
      </c>
      <c r="C23">
        <v>45</v>
      </c>
      <c r="D23">
        <v>70</v>
      </c>
      <c r="E23">
        <v>23</v>
      </c>
    </row>
    <row r="24" spans="1:5" x14ac:dyDescent="0.25">
      <c r="A24">
        <v>120</v>
      </c>
      <c r="B24">
        <v>8</v>
      </c>
      <c r="C24">
        <v>15</v>
      </c>
      <c r="D24">
        <v>62</v>
      </c>
      <c r="E24">
        <v>15</v>
      </c>
    </row>
  </sheetData>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0B466-FC02-4E9A-986D-CA160C02BFC9}">
  <dimension ref="A1:R184"/>
  <sheetViews>
    <sheetView topLeftCell="A4" workbookViewId="0">
      <selection activeCell="A4" sqref="A4"/>
    </sheetView>
  </sheetViews>
  <sheetFormatPr defaultRowHeight="15" x14ac:dyDescent="0.25"/>
  <cols>
    <col min="1" max="1" width="16.28515625" customWidth="1"/>
    <col min="2" max="2" width="10.140625" customWidth="1"/>
    <col min="3" max="3" width="6.140625" customWidth="1"/>
    <col min="4" max="4" width="9.140625" style="2"/>
    <col min="5" max="5" width="14.28515625" style="2" customWidth="1"/>
    <col min="6" max="6" width="14.7109375" style="2" customWidth="1"/>
    <col min="7" max="7" width="18.85546875" style="2" customWidth="1"/>
    <col min="8" max="8" width="22.85546875" style="2" customWidth="1"/>
    <col min="9" max="9" width="14" style="2" customWidth="1"/>
    <col min="10" max="10" width="17.42578125" style="2" customWidth="1"/>
    <col min="11" max="11" width="15.42578125" style="2" customWidth="1"/>
    <col min="12" max="12" width="12.42578125" style="2" customWidth="1"/>
    <col min="13" max="13" width="13.42578125" style="2" customWidth="1"/>
    <col min="14" max="15" width="17.5703125" style="2" customWidth="1"/>
  </cols>
  <sheetData>
    <row r="1" spans="1:18" x14ac:dyDescent="0.25">
      <c r="A1" t="s">
        <v>3877</v>
      </c>
      <c r="O1" s="2" t="s">
        <v>4227</v>
      </c>
      <c r="P1">
        <f>COUNTIF(A$9:O76,O1)</f>
        <v>24</v>
      </c>
    </row>
    <row r="2" spans="1:18" x14ac:dyDescent="0.25">
      <c r="A2" t="s">
        <v>3868</v>
      </c>
      <c r="O2" s="2" t="s">
        <v>4224</v>
      </c>
      <c r="P2">
        <f>COUNTIF(A$9:O77,O2)</f>
        <v>11</v>
      </c>
    </row>
    <row r="3" spans="1:18" x14ac:dyDescent="0.25">
      <c r="A3" t="s">
        <v>3876</v>
      </c>
      <c r="O3" s="2" t="s">
        <v>4230</v>
      </c>
      <c r="P3">
        <f>COUNTIF(A$9:O78,O3)</f>
        <v>23</v>
      </c>
    </row>
    <row r="4" spans="1:18" x14ac:dyDescent="0.25">
      <c r="A4" t="s">
        <v>3875</v>
      </c>
      <c r="O4" t="s">
        <v>4251</v>
      </c>
      <c r="P4">
        <f>COUNTIF(A$9:O79,O4)</f>
        <v>1</v>
      </c>
    </row>
    <row r="5" spans="1:18" x14ac:dyDescent="0.25">
      <c r="O5" t="s">
        <v>4253</v>
      </c>
      <c r="P5">
        <f>COUNTIF(A$9:O80,O5)</f>
        <v>4</v>
      </c>
    </row>
    <row r="6" spans="1:18" x14ac:dyDescent="0.25">
      <c r="O6" s="2" t="s">
        <v>1942</v>
      </c>
      <c r="P6">
        <f>SUM(P1:P5)</f>
        <v>63</v>
      </c>
    </row>
    <row r="7" spans="1:18" s="79" customFormat="1" ht="60" x14ac:dyDescent="0.25">
      <c r="A7" s="342" t="s">
        <v>548</v>
      </c>
      <c r="B7" s="342" t="s">
        <v>2236</v>
      </c>
      <c r="C7" s="342" t="s">
        <v>4218</v>
      </c>
      <c r="D7" s="342" t="s">
        <v>3878</v>
      </c>
      <c r="E7" s="342" t="s">
        <v>4217</v>
      </c>
      <c r="F7" s="342" t="s">
        <v>3879</v>
      </c>
      <c r="G7" s="342" t="s">
        <v>3880</v>
      </c>
      <c r="H7" s="342" t="s">
        <v>3881</v>
      </c>
      <c r="I7" s="342" t="s">
        <v>3882</v>
      </c>
      <c r="J7" s="342" t="s">
        <v>3883</v>
      </c>
      <c r="K7" s="342" t="s">
        <v>2631</v>
      </c>
      <c r="L7" s="342" t="s">
        <v>3884</v>
      </c>
      <c r="M7" s="342" t="s">
        <v>3885</v>
      </c>
      <c r="N7" s="342" t="s">
        <v>3886</v>
      </c>
      <c r="O7" s="342" t="s">
        <v>4221</v>
      </c>
      <c r="P7" s="79" t="s">
        <v>4147</v>
      </c>
      <c r="Q7" s="79" t="s">
        <v>4148</v>
      </c>
      <c r="R7" s="79" t="s">
        <v>1490</v>
      </c>
    </row>
    <row r="8" spans="1:18" x14ac:dyDescent="0.25">
      <c r="A8" s="50" t="s">
        <v>3869</v>
      </c>
      <c r="B8" s="50"/>
      <c r="C8" s="50"/>
      <c r="D8" s="341"/>
      <c r="E8" s="341"/>
      <c r="F8" s="341"/>
      <c r="G8" s="341"/>
      <c r="H8" s="341"/>
      <c r="I8" s="341"/>
      <c r="J8" s="341"/>
      <c r="K8" s="341"/>
      <c r="L8" s="341"/>
      <c r="M8" s="341"/>
      <c r="N8" s="341"/>
      <c r="O8" s="341"/>
    </row>
    <row r="9" spans="1:18" ht="30" x14ac:dyDescent="0.25">
      <c r="A9" s="50" t="s">
        <v>4196</v>
      </c>
      <c r="B9" t="s">
        <v>4223</v>
      </c>
      <c r="C9" s="50">
        <f>C8+1</f>
        <v>1</v>
      </c>
      <c r="D9" s="341" t="s">
        <v>2533</v>
      </c>
      <c r="E9" s="341" t="s">
        <v>3869</v>
      </c>
      <c r="F9" s="341" t="s">
        <v>3887</v>
      </c>
      <c r="G9" s="341" t="s">
        <v>3888</v>
      </c>
      <c r="H9" s="341" t="s">
        <v>3889</v>
      </c>
      <c r="I9" s="341" t="s">
        <v>3890</v>
      </c>
      <c r="J9" s="341" t="s">
        <v>3891</v>
      </c>
      <c r="K9" s="341" t="s">
        <v>3892</v>
      </c>
      <c r="L9" s="341" t="s">
        <v>3893</v>
      </c>
      <c r="M9" s="341" t="s">
        <v>836</v>
      </c>
      <c r="N9" s="341" t="s">
        <v>3894</v>
      </c>
      <c r="O9" t="s">
        <v>4224</v>
      </c>
      <c r="P9">
        <v>2</v>
      </c>
      <c r="Q9">
        <v>3</v>
      </c>
      <c r="R9" s="34">
        <f>P9/Q9</f>
        <v>0.66666666666666663</v>
      </c>
    </row>
    <row r="10" spans="1:18" ht="30" x14ac:dyDescent="0.25">
      <c r="A10" s="50" t="s">
        <v>4197</v>
      </c>
      <c r="B10" t="s">
        <v>4225</v>
      </c>
      <c r="C10" s="50">
        <f t="shared" ref="C10:C68" si="0">C9+1</f>
        <v>2</v>
      </c>
      <c r="D10" s="341" t="s">
        <v>2533</v>
      </c>
      <c r="E10" s="341" t="s">
        <v>3869</v>
      </c>
      <c r="F10" s="341" t="s">
        <v>3887</v>
      </c>
      <c r="G10" s="341" t="s">
        <v>3895</v>
      </c>
      <c r="H10" s="341" t="s">
        <v>3896</v>
      </c>
      <c r="I10" s="341" t="s">
        <v>4137</v>
      </c>
      <c r="J10" s="341" t="s">
        <v>3897</v>
      </c>
      <c r="K10" s="341" t="s">
        <v>3898</v>
      </c>
      <c r="L10" s="341" t="s">
        <v>836</v>
      </c>
      <c r="M10" s="341" t="s">
        <v>836</v>
      </c>
      <c r="N10" s="341" t="s">
        <v>3899</v>
      </c>
      <c r="O10" t="s">
        <v>4227</v>
      </c>
      <c r="P10">
        <v>0</v>
      </c>
      <c r="Q10">
        <v>9</v>
      </c>
      <c r="R10" s="34">
        <f t="shared" ref="R10:R66" si="1">P10/Q10</f>
        <v>0</v>
      </c>
    </row>
    <row r="11" spans="1:18" ht="75" x14ac:dyDescent="0.25">
      <c r="A11" s="50" t="s">
        <v>4198</v>
      </c>
      <c r="B11" t="s">
        <v>4228</v>
      </c>
      <c r="C11" s="50">
        <f t="shared" si="0"/>
        <v>3</v>
      </c>
      <c r="D11" s="341" t="s">
        <v>2533</v>
      </c>
      <c r="E11" s="341" t="s">
        <v>3869</v>
      </c>
      <c r="F11" s="341" t="s">
        <v>3887</v>
      </c>
      <c r="G11" s="341" t="s">
        <v>3900</v>
      </c>
      <c r="H11" s="341" t="s">
        <v>3901</v>
      </c>
      <c r="I11" s="341" t="s">
        <v>3890</v>
      </c>
      <c r="J11" s="341" t="s">
        <v>3902</v>
      </c>
      <c r="K11" s="341" t="s">
        <v>3903</v>
      </c>
      <c r="L11" s="341" t="s">
        <v>3904</v>
      </c>
      <c r="M11" s="341" t="s">
        <v>836</v>
      </c>
      <c r="N11" s="341" t="s">
        <v>3905</v>
      </c>
      <c r="O11" t="s">
        <v>4251</v>
      </c>
      <c r="P11">
        <v>13</v>
      </c>
      <c r="Q11">
        <v>32</v>
      </c>
      <c r="R11" s="34">
        <f t="shared" si="1"/>
        <v>0.40625</v>
      </c>
    </row>
    <row r="12" spans="1:18" ht="30" x14ac:dyDescent="0.25">
      <c r="A12" s="50" t="s">
        <v>4199</v>
      </c>
      <c r="B12">
        <v>22</v>
      </c>
      <c r="C12" s="50">
        <f t="shared" si="0"/>
        <v>4</v>
      </c>
      <c r="D12" s="341" t="s">
        <v>3906</v>
      </c>
      <c r="E12" s="341" t="s">
        <v>3869</v>
      </c>
      <c r="F12" s="341" t="s">
        <v>2118</v>
      </c>
      <c r="G12" s="341" t="s">
        <v>3895</v>
      </c>
      <c r="H12" s="341" t="s">
        <v>3890</v>
      </c>
      <c r="I12" s="341" t="s">
        <v>4138</v>
      </c>
      <c r="J12" s="341" t="s">
        <v>3907</v>
      </c>
      <c r="K12" s="341" t="s">
        <v>3903</v>
      </c>
      <c r="L12" s="341" t="s">
        <v>836</v>
      </c>
      <c r="M12" s="341" t="s">
        <v>836</v>
      </c>
      <c r="N12" s="341" t="s">
        <v>3908</v>
      </c>
      <c r="O12" t="s">
        <v>4230</v>
      </c>
      <c r="P12">
        <v>0</v>
      </c>
      <c r="Q12">
        <v>1</v>
      </c>
      <c r="R12" s="34">
        <f t="shared" si="1"/>
        <v>0</v>
      </c>
    </row>
    <row r="13" spans="1:18" ht="30" x14ac:dyDescent="0.25">
      <c r="A13" s="50" t="s">
        <v>4200</v>
      </c>
      <c r="B13">
        <v>10</v>
      </c>
      <c r="C13" s="50">
        <f t="shared" si="0"/>
        <v>5</v>
      </c>
      <c r="D13" s="341" t="s">
        <v>2533</v>
      </c>
      <c r="E13" s="341" t="s">
        <v>3869</v>
      </c>
      <c r="F13" s="341" t="s">
        <v>3887</v>
      </c>
      <c r="G13" s="341" t="s">
        <v>3909</v>
      </c>
      <c r="H13" s="341" t="s">
        <v>3901</v>
      </c>
      <c r="I13" s="341" t="s">
        <v>4139</v>
      </c>
      <c r="J13" s="341" t="s">
        <v>3910</v>
      </c>
      <c r="K13" s="341" t="s">
        <v>3911</v>
      </c>
      <c r="L13" s="341" t="s">
        <v>836</v>
      </c>
      <c r="M13" s="341" t="s">
        <v>836</v>
      </c>
      <c r="N13" s="341" t="s">
        <v>3899</v>
      </c>
      <c r="O13" t="s">
        <v>4227</v>
      </c>
      <c r="P13">
        <v>0</v>
      </c>
      <c r="Q13">
        <v>9</v>
      </c>
      <c r="R13" s="34">
        <f t="shared" si="1"/>
        <v>0</v>
      </c>
    </row>
    <row r="14" spans="1:18" ht="30" x14ac:dyDescent="0.25">
      <c r="A14" s="50" t="s">
        <v>4201</v>
      </c>
      <c r="B14">
        <v>19</v>
      </c>
      <c r="C14" s="50">
        <f t="shared" si="0"/>
        <v>6</v>
      </c>
      <c r="D14" s="341" t="s">
        <v>2533</v>
      </c>
      <c r="E14" s="341" t="s">
        <v>3869</v>
      </c>
      <c r="F14" s="341" t="s">
        <v>3890</v>
      </c>
      <c r="G14" s="341" t="s">
        <v>3890</v>
      </c>
      <c r="H14" s="341" t="s">
        <v>3912</v>
      </c>
      <c r="I14" s="341" t="s">
        <v>4139</v>
      </c>
      <c r="J14" s="341" t="s">
        <v>3913</v>
      </c>
      <c r="K14" s="341" t="s">
        <v>3914</v>
      </c>
      <c r="L14" s="341" t="s">
        <v>3915</v>
      </c>
      <c r="M14" s="341" t="s">
        <v>836</v>
      </c>
      <c r="N14" s="341" t="s">
        <v>3916</v>
      </c>
      <c r="O14" t="s">
        <v>4227</v>
      </c>
      <c r="P14">
        <v>0</v>
      </c>
      <c r="Q14">
        <v>5</v>
      </c>
      <c r="R14" s="34">
        <f t="shared" si="1"/>
        <v>0</v>
      </c>
    </row>
    <row r="15" spans="1:18" ht="60" x14ac:dyDescent="0.25">
      <c r="A15" s="50" t="s">
        <v>4202</v>
      </c>
      <c r="B15" t="s">
        <v>4231</v>
      </c>
      <c r="C15" s="50">
        <f t="shared" si="0"/>
        <v>7</v>
      </c>
      <c r="D15" s="341" t="s">
        <v>3906</v>
      </c>
      <c r="E15" s="341" t="s">
        <v>3869</v>
      </c>
      <c r="F15" s="341" t="s">
        <v>3917</v>
      </c>
      <c r="G15" s="341" t="s">
        <v>3895</v>
      </c>
      <c r="H15" s="341" t="s">
        <v>3889</v>
      </c>
      <c r="I15" s="341" t="s">
        <v>3890</v>
      </c>
      <c r="J15" s="341" t="s">
        <v>3918</v>
      </c>
      <c r="K15" s="341" t="s">
        <v>3919</v>
      </c>
      <c r="L15" s="341" t="s">
        <v>3920</v>
      </c>
      <c r="M15" s="341" t="s">
        <v>836</v>
      </c>
      <c r="N15" s="341" t="s">
        <v>3921</v>
      </c>
      <c r="O15" t="s">
        <v>4224</v>
      </c>
      <c r="P15">
        <v>12</v>
      </c>
      <c r="Q15">
        <v>12</v>
      </c>
      <c r="R15" s="34">
        <f t="shared" si="1"/>
        <v>1</v>
      </c>
    </row>
    <row r="16" spans="1:18" ht="30" x14ac:dyDescent="0.25">
      <c r="A16" s="50" t="s">
        <v>4203</v>
      </c>
      <c r="B16">
        <v>18</v>
      </c>
      <c r="C16" s="50">
        <f t="shared" si="0"/>
        <v>8</v>
      </c>
      <c r="D16" s="341" t="s">
        <v>3906</v>
      </c>
      <c r="E16" s="341" t="s">
        <v>3869</v>
      </c>
      <c r="F16" s="341" t="s">
        <v>3922</v>
      </c>
      <c r="G16" s="341" t="s">
        <v>3923</v>
      </c>
      <c r="H16" s="341" t="s">
        <v>3924</v>
      </c>
      <c r="I16" s="341" t="s">
        <v>4140</v>
      </c>
      <c r="J16" s="341" t="s">
        <v>3925</v>
      </c>
      <c r="K16" s="341" t="s">
        <v>3926</v>
      </c>
      <c r="L16" s="341" t="s">
        <v>836</v>
      </c>
      <c r="M16" s="341" t="s">
        <v>836</v>
      </c>
      <c r="N16" s="341" t="s">
        <v>3927</v>
      </c>
      <c r="O16" t="s">
        <v>4227</v>
      </c>
      <c r="P16">
        <v>0</v>
      </c>
      <c r="Q16">
        <v>26</v>
      </c>
      <c r="R16" s="34">
        <f t="shared" si="1"/>
        <v>0</v>
      </c>
    </row>
    <row r="17" spans="1:18" ht="45" x14ac:dyDescent="0.25">
      <c r="A17" s="50" t="s">
        <v>4204</v>
      </c>
      <c r="B17">
        <v>27</v>
      </c>
      <c r="C17" s="50">
        <f t="shared" si="0"/>
        <v>9</v>
      </c>
      <c r="D17" s="341" t="s">
        <v>3906</v>
      </c>
      <c r="E17" s="341" t="s">
        <v>3869</v>
      </c>
      <c r="F17" s="341" t="s">
        <v>3928</v>
      </c>
      <c r="G17" s="341" t="s">
        <v>3923</v>
      </c>
      <c r="H17" s="341" t="s">
        <v>4146</v>
      </c>
      <c r="I17" s="341" t="s">
        <v>4138</v>
      </c>
      <c r="J17" s="341" t="s">
        <v>3929</v>
      </c>
      <c r="K17" s="341" t="s">
        <v>3930</v>
      </c>
      <c r="L17" s="341" t="s">
        <v>836</v>
      </c>
      <c r="M17" s="341" t="s">
        <v>3931</v>
      </c>
      <c r="N17" s="341" t="s">
        <v>3932</v>
      </c>
      <c r="O17" t="s">
        <v>4227</v>
      </c>
      <c r="P17">
        <v>0</v>
      </c>
      <c r="Q17">
        <v>3</v>
      </c>
      <c r="R17" s="34">
        <f t="shared" si="1"/>
        <v>0</v>
      </c>
    </row>
    <row r="18" spans="1:18" ht="30" x14ac:dyDescent="0.25">
      <c r="A18" s="50" t="s">
        <v>4205</v>
      </c>
      <c r="B18">
        <v>28</v>
      </c>
      <c r="C18" s="50">
        <f t="shared" si="0"/>
        <v>10</v>
      </c>
      <c r="D18" s="341" t="s">
        <v>3906</v>
      </c>
      <c r="E18" s="341" t="s">
        <v>3869</v>
      </c>
      <c r="F18" s="341" t="s">
        <v>3933</v>
      </c>
      <c r="G18" s="341" t="s">
        <v>3934</v>
      </c>
      <c r="H18" s="341" t="s">
        <v>3935</v>
      </c>
      <c r="I18" s="341" t="s">
        <v>4135</v>
      </c>
      <c r="J18" s="341" t="s">
        <v>3936</v>
      </c>
      <c r="K18" s="341" t="s">
        <v>3937</v>
      </c>
      <c r="L18" s="341" t="s">
        <v>836</v>
      </c>
      <c r="M18" s="341" t="s">
        <v>836</v>
      </c>
      <c r="N18" s="341" t="s">
        <v>3938</v>
      </c>
      <c r="O18" t="s">
        <v>4227</v>
      </c>
      <c r="P18">
        <v>0</v>
      </c>
      <c r="Q18">
        <v>6</v>
      </c>
      <c r="R18" s="34">
        <f t="shared" si="1"/>
        <v>0</v>
      </c>
    </row>
    <row r="19" spans="1:18" ht="30" x14ac:dyDescent="0.25">
      <c r="A19" s="50" t="s">
        <v>4206</v>
      </c>
      <c r="B19">
        <v>29</v>
      </c>
      <c r="C19" s="50">
        <f t="shared" si="0"/>
        <v>11</v>
      </c>
      <c r="D19" s="341" t="s">
        <v>3906</v>
      </c>
      <c r="E19" s="341" t="s">
        <v>3869</v>
      </c>
      <c r="F19" s="341" t="s">
        <v>3939</v>
      </c>
      <c r="G19" s="341" t="s">
        <v>3888</v>
      </c>
      <c r="H19" s="341" t="s">
        <v>3889</v>
      </c>
      <c r="I19" s="341" t="s">
        <v>4141</v>
      </c>
      <c r="J19" s="341" t="s">
        <v>3940</v>
      </c>
      <c r="K19" s="341" t="s">
        <v>3941</v>
      </c>
      <c r="L19" s="341" t="s">
        <v>836</v>
      </c>
      <c r="M19" s="341" t="s">
        <v>836</v>
      </c>
      <c r="N19" s="341" t="s">
        <v>3942</v>
      </c>
      <c r="O19" t="s">
        <v>4224</v>
      </c>
      <c r="P19">
        <v>1</v>
      </c>
      <c r="Q19">
        <v>1</v>
      </c>
      <c r="R19" s="34">
        <f t="shared" si="1"/>
        <v>1</v>
      </c>
    </row>
    <row r="20" spans="1:18" ht="30" x14ac:dyDescent="0.25">
      <c r="A20" s="50" t="s">
        <v>4207</v>
      </c>
      <c r="B20" t="s">
        <v>4233</v>
      </c>
      <c r="C20" s="50">
        <f t="shared" si="0"/>
        <v>12</v>
      </c>
      <c r="D20" s="341" t="s">
        <v>3906</v>
      </c>
      <c r="E20" s="341" t="s">
        <v>3869</v>
      </c>
      <c r="F20" s="341" t="s">
        <v>3943</v>
      </c>
      <c r="G20" s="341" t="s">
        <v>3944</v>
      </c>
      <c r="H20" s="341" t="s">
        <v>3945</v>
      </c>
      <c r="I20" s="341" t="s">
        <v>4138</v>
      </c>
      <c r="J20" s="341" t="s">
        <v>3946</v>
      </c>
      <c r="K20" s="341" t="s">
        <v>3926</v>
      </c>
      <c r="L20" s="341" t="s">
        <v>836</v>
      </c>
      <c r="M20" s="341" t="s">
        <v>836</v>
      </c>
      <c r="N20" s="341" t="s">
        <v>3947</v>
      </c>
      <c r="O20" t="s">
        <v>4253</v>
      </c>
      <c r="P20">
        <v>1</v>
      </c>
      <c r="Q20">
        <v>10</v>
      </c>
      <c r="R20" s="34">
        <f t="shared" si="1"/>
        <v>0.1</v>
      </c>
    </row>
    <row r="21" spans="1:18" ht="45" x14ac:dyDescent="0.25">
      <c r="A21" s="50" t="s">
        <v>4196</v>
      </c>
      <c r="B21" t="s">
        <v>4223</v>
      </c>
      <c r="C21" s="50">
        <f t="shared" si="0"/>
        <v>13</v>
      </c>
      <c r="D21" s="341" t="s">
        <v>3948</v>
      </c>
      <c r="E21" s="341" t="s">
        <v>3870</v>
      </c>
      <c r="F21" s="341" t="s">
        <v>3684</v>
      </c>
      <c r="G21" s="341" t="s">
        <v>3949</v>
      </c>
      <c r="H21" s="341" t="s">
        <v>3889</v>
      </c>
      <c r="I21" s="341" t="s">
        <v>3890</v>
      </c>
      <c r="J21" s="341" t="s">
        <v>3950</v>
      </c>
      <c r="K21" s="341" t="s">
        <v>3951</v>
      </c>
      <c r="L21" s="341">
        <v>0</v>
      </c>
      <c r="M21" s="341" t="s">
        <v>836</v>
      </c>
      <c r="N21" s="341" t="s">
        <v>3952</v>
      </c>
      <c r="O21" t="s">
        <v>4227</v>
      </c>
      <c r="P21">
        <v>0</v>
      </c>
      <c r="Q21">
        <v>2</v>
      </c>
      <c r="R21" s="34">
        <f t="shared" si="1"/>
        <v>0</v>
      </c>
    </row>
    <row r="22" spans="1:18" ht="45" x14ac:dyDescent="0.25">
      <c r="A22" s="50" t="s">
        <v>4197</v>
      </c>
      <c r="B22" t="s">
        <v>4225</v>
      </c>
      <c r="C22" s="50">
        <f t="shared" si="0"/>
        <v>14</v>
      </c>
      <c r="D22" s="341" t="s">
        <v>3948</v>
      </c>
      <c r="E22" s="341" t="s">
        <v>3870</v>
      </c>
      <c r="F22" s="341" t="s">
        <v>3684</v>
      </c>
      <c r="G22" s="341" t="s">
        <v>3953</v>
      </c>
      <c r="H22" s="341" t="s">
        <v>3896</v>
      </c>
      <c r="I22" s="341" t="s">
        <v>4137</v>
      </c>
      <c r="J22" s="341" t="s">
        <v>3897</v>
      </c>
      <c r="K22" s="341" t="s">
        <v>3954</v>
      </c>
      <c r="L22" s="341" t="s">
        <v>836</v>
      </c>
      <c r="M22" s="341" t="s">
        <v>836</v>
      </c>
      <c r="N22" s="341" t="s">
        <v>3955</v>
      </c>
      <c r="O22" t="s">
        <v>4227</v>
      </c>
      <c r="P22">
        <v>0</v>
      </c>
      <c r="Q22">
        <v>1</v>
      </c>
      <c r="R22" s="34">
        <f t="shared" si="1"/>
        <v>0</v>
      </c>
    </row>
    <row r="23" spans="1:18" ht="45" x14ac:dyDescent="0.25">
      <c r="A23" s="50" t="s">
        <v>4208</v>
      </c>
      <c r="B23">
        <v>3</v>
      </c>
      <c r="C23" s="50">
        <f t="shared" si="0"/>
        <v>15</v>
      </c>
      <c r="D23" s="341" t="s">
        <v>3956</v>
      </c>
      <c r="E23" s="341" t="s">
        <v>3870</v>
      </c>
      <c r="F23" s="341" t="s">
        <v>3957</v>
      </c>
      <c r="G23" s="341" t="s">
        <v>3923</v>
      </c>
      <c r="H23" s="341" t="s">
        <v>3958</v>
      </c>
      <c r="I23" s="341" t="s">
        <v>3959</v>
      </c>
      <c r="J23" s="341" t="s">
        <v>3960</v>
      </c>
      <c r="K23" s="341" t="s">
        <v>3961</v>
      </c>
      <c r="L23" s="341" t="s">
        <v>3890</v>
      </c>
      <c r="M23" s="341" t="s">
        <v>836</v>
      </c>
      <c r="N23" s="341" t="s">
        <v>3962</v>
      </c>
      <c r="O23" t="s">
        <v>4227</v>
      </c>
      <c r="P23">
        <v>0</v>
      </c>
      <c r="Q23">
        <v>18</v>
      </c>
      <c r="R23" s="34">
        <f t="shared" si="1"/>
        <v>0</v>
      </c>
    </row>
    <row r="24" spans="1:18" ht="45" x14ac:dyDescent="0.25">
      <c r="A24" s="50" t="s">
        <v>4209</v>
      </c>
      <c r="B24">
        <v>12</v>
      </c>
      <c r="C24" s="50">
        <f t="shared" si="0"/>
        <v>16</v>
      </c>
      <c r="D24" s="341" t="s">
        <v>3963</v>
      </c>
      <c r="E24" s="341" t="s">
        <v>3870</v>
      </c>
      <c r="F24" s="341" t="s">
        <v>3922</v>
      </c>
      <c r="G24" s="341" t="s">
        <v>3923</v>
      </c>
      <c r="H24" s="341" t="s">
        <v>3924</v>
      </c>
      <c r="I24" s="341" t="s">
        <v>3964</v>
      </c>
      <c r="J24" s="341" t="s">
        <v>3965</v>
      </c>
      <c r="K24" s="341" t="s">
        <v>3966</v>
      </c>
      <c r="L24" s="341" t="s">
        <v>836</v>
      </c>
      <c r="M24" s="341" t="s">
        <v>3967</v>
      </c>
      <c r="N24" s="341" t="s">
        <v>3962</v>
      </c>
      <c r="O24" t="s">
        <v>4227</v>
      </c>
      <c r="P24">
        <v>0</v>
      </c>
      <c r="Q24">
        <v>18</v>
      </c>
      <c r="R24" s="34">
        <f t="shared" si="1"/>
        <v>0</v>
      </c>
    </row>
    <row r="25" spans="1:18" ht="45" x14ac:dyDescent="0.25">
      <c r="A25" s="50" t="s">
        <v>4198</v>
      </c>
      <c r="B25" t="s">
        <v>4228</v>
      </c>
      <c r="C25" s="50">
        <f t="shared" si="0"/>
        <v>17</v>
      </c>
      <c r="D25" s="341" t="s">
        <v>3956</v>
      </c>
      <c r="E25" s="341" t="s">
        <v>3870</v>
      </c>
      <c r="F25" s="341" t="s">
        <v>3922</v>
      </c>
      <c r="G25" s="341" t="s">
        <v>3968</v>
      </c>
      <c r="H25" s="341" t="s">
        <v>3969</v>
      </c>
      <c r="I25" s="341" t="s">
        <v>3970</v>
      </c>
      <c r="J25" s="341" t="s">
        <v>3902</v>
      </c>
      <c r="K25" s="341" t="s">
        <v>3971</v>
      </c>
      <c r="L25" s="341" t="s">
        <v>3871</v>
      </c>
      <c r="M25" s="341" t="s">
        <v>836</v>
      </c>
      <c r="N25" s="341" t="s">
        <v>3972</v>
      </c>
      <c r="O25" t="s">
        <v>4253</v>
      </c>
      <c r="P25">
        <v>2</v>
      </c>
      <c r="Q25">
        <v>16</v>
      </c>
      <c r="R25" s="34">
        <f t="shared" si="1"/>
        <v>0.125</v>
      </c>
    </row>
    <row r="26" spans="1:18" ht="45" x14ac:dyDescent="0.25">
      <c r="A26" s="50" t="s">
        <v>4210</v>
      </c>
      <c r="B26">
        <v>16</v>
      </c>
      <c r="C26" s="50">
        <f t="shared" si="0"/>
        <v>18</v>
      </c>
      <c r="D26" s="341" t="s">
        <v>3956</v>
      </c>
      <c r="E26" s="341" t="s">
        <v>3870</v>
      </c>
      <c r="F26" s="341" t="s">
        <v>3973</v>
      </c>
      <c r="G26" s="341" t="s">
        <v>3923</v>
      </c>
      <c r="H26" s="341" t="s">
        <v>3974</v>
      </c>
      <c r="I26" s="341" t="s">
        <v>3975</v>
      </c>
      <c r="J26" s="341" t="s">
        <v>3976</v>
      </c>
      <c r="K26" s="341" t="s">
        <v>3977</v>
      </c>
      <c r="L26" s="341" t="s">
        <v>3872</v>
      </c>
      <c r="M26" s="341" t="s">
        <v>836</v>
      </c>
      <c r="N26" s="341" t="s">
        <v>3978</v>
      </c>
      <c r="O26" t="s">
        <v>4224</v>
      </c>
      <c r="P26">
        <v>4</v>
      </c>
      <c r="Q26">
        <v>10</v>
      </c>
      <c r="R26" s="34">
        <f t="shared" si="1"/>
        <v>0.4</v>
      </c>
    </row>
    <row r="27" spans="1:18" ht="45" x14ac:dyDescent="0.25">
      <c r="A27" s="50" t="s">
        <v>4199</v>
      </c>
      <c r="B27">
        <v>22</v>
      </c>
      <c r="C27" s="50">
        <f t="shared" si="0"/>
        <v>19</v>
      </c>
      <c r="D27" s="341" t="s">
        <v>3963</v>
      </c>
      <c r="E27" s="341" t="s">
        <v>3870</v>
      </c>
      <c r="F27" s="341" t="s">
        <v>2118</v>
      </c>
      <c r="G27" s="341" t="s">
        <v>3890</v>
      </c>
      <c r="H27" s="341" t="s">
        <v>3890</v>
      </c>
      <c r="I27" s="341" t="s">
        <v>4142</v>
      </c>
      <c r="J27" s="341" t="s">
        <v>3907</v>
      </c>
      <c r="K27" s="341" t="s">
        <v>3903</v>
      </c>
      <c r="L27" s="341" t="s">
        <v>836</v>
      </c>
      <c r="M27" s="341" t="s">
        <v>836</v>
      </c>
      <c r="N27" s="341" t="s">
        <v>3979</v>
      </c>
      <c r="O27" t="s">
        <v>4230</v>
      </c>
      <c r="P27">
        <v>1</v>
      </c>
      <c r="Q27">
        <v>1</v>
      </c>
      <c r="R27" s="34">
        <f t="shared" si="1"/>
        <v>1</v>
      </c>
    </row>
    <row r="28" spans="1:18" ht="45" x14ac:dyDescent="0.25">
      <c r="A28" s="50" t="s">
        <v>4211</v>
      </c>
      <c r="B28">
        <v>14</v>
      </c>
      <c r="C28" s="50">
        <f t="shared" si="0"/>
        <v>20</v>
      </c>
      <c r="D28" s="341" t="s">
        <v>3963</v>
      </c>
      <c r="E28" s="341" t="s">
        <v>3870</v>
      </c>
      <c r="F28" s="341" t="s">
        <v>3980</v>
      </c>
      <c r="G28" s="341" t="s">
        <v>3873</v>
      </c>
      <c r="H28" s="341" t="s">
        <v>3874</v>
      </c>
      <c r="I28" s="341" t="s">
        <v>4143</v>
      </c>
      <c r="J28" s="341" t="s">
        <v>3981</v>
      </c>
      <c r="K28" s="341" t="s">
        <v>3919</v>
      </c>
      <c r="L28" s="341">
        <v>0</v>
      </c>
      <c r="M28" s="341" t="s">
        <v>836</v>
      </c>
      <c r="N28" s="341" t="s">
        <v>3938</v>
      </c>
      <c r="O28" t="s">
        <v>4230</v>
      </c>
      <c r="P28">
        <v>0</v>
      </c>
      <c r="Q28">
        <v>6</v>
      </c>
      <c r="R28" s="34">
        <f t="shared" si="1"/>
        <v>0</v>
      </c>
    </row>
    <row r="29" spans="1:18" x14ac:dyDescent="0.25">
      <c r="A29" s="50" t="s">
        <v>4211</v>
      </c>
      <c r="B29" t="s">
        <v>4237</v>
      </c>
      <c r="C29" s="50">
        <f t="shared" si="0"/>
        <v>21</v>
      </c>
      <c r="D29" s="341" t="s">
        <v>3963</v>
      </c>
      <c r="E29" s="341"/>
      <c r="F29" s="341" t="s">
        <v>3890</v>
      </c>
      <c r="G29" s="341" t="s">
        <v>3923</v>
      </c>
      <c r="H29" s="341" t="s">
        <v>3924</v>
      </c>
      <c r="I29" s="341" t="s">
        <v>4143</v>
      </c>
      <c r="J29" s="341" t="s">
        <v>3982</v>
      </c>
      <c r="K29" s="341" t="s">
        <v>3926</v>
      </c>
      <c r="L29" s="341">
        <v>0</v>
      </c>
      <c r="M29" s="341" t="s">
        <v>836</v>
      </c>
      <c r="N29" s="341" t="s">
        <v>3983</v>
      </c>
      <c r="O29" t="s">
        <v>4227</v>
      </c>
      <c r="P29">
        <v>0</v>
      </c>
      <c r="Q29">
        <v>8</v>
      </c>
      <c r="R29" s="34">
        <f t="shared" si="1"/>
        <v>0</v>
      </c>
    </row>
    <row r="30" spans="1:18" ht="45" x14ac:dyDescent="0.25">
      <c r="A30" s="50" t="s">
        <v>4201</v>
      </c>
      <c r="B30" t="s">
        <v>4238</v>
      </c>
      <c r="C30" s="50">
        <f t="shared" si="0"/>
        <v>22</v>
      </c>
      <c r="D30" s="341" t="s">
        <v>3984</v>
      </c>
      <c r="E30" s="341" t="s">
        <v>3870</v>
      </c>
      <c r="F30" s="341" t="s">
        <v>3890</v>
      </c>
      <c r="G30" s="341" t="s">
        <v>3890</v>
      </c>
      <c r="H30" s="341" t="s">
        <v>3890</v>
      </c>
      <c r="I30" s="341" t="s">
        <v>3890</v>
      </c>
      <c r="J30" s="341" t="s">
        <v>3985</v>
      </c>
      <c r="K30" s="341" t="s">
        <v>3986</v>
      </c>
      <c r="L30" s="341" t="s">
        <v>3987</v>
      </c>
      <c r="M30" s="341" t="s">
        <v>3988</v>
      </c>
      <c r="N30" s="341" t="s">
        <v>3989</v>
      </c>
      <c r="O30" t="s">
        <v>4230</v>
      </c>
      <c r="P30">
        <v>6</v>
      </c>
      <c r="Q30">
        <v>12</v>
      </c>
      <c r="R30" s="34">
        <f t="shared" si="1"/>
        <v>0.5</v>
      </c>
    </row>
    <row r="31" spans="1:18" ht="45" x14ac:dyDescent="0.25">
      <c r="A31" s="50" t="s">
        <v>4200</v>
      </c>
      <c r="B31">
        <v>10</v>
      </c>
      <c r="C31" s="50">
        <f t="shared" si="0"/>
        <v>23</v>
      </c>
      <c r="D31" s="341" t="s">
        <v>3963</v>
      </c>
      <c r="E31" s="341" t="s">
        <v>3870</v>
      </c>
      <c r="F31" s="341" t="s">
        <v>3684</v>
      </c>
      <c r="G31" s="341" t="s">
        <v>3909</v>
      </c>
      <c r="H31" s="341" t="s">
        <v>3990</v>
      </c>
      <c r="I31" s="341" t="s">
        <v>4139</v>
      </c>
      <c r="J31" s="341" t="s">
        <v>3991</v>
      </c>
      <c r="K31" s="341" t="s">
        <v>3911</v>
      </c>
      <c r="L31" s="341" t="s">
        <v>836</v>
      </c>
      <c r="M31" s="341" t="s">
        <v>836</v>
      </c>
      <c r="N31" s="341" t="s">
        <v>3962</v>
      </c>
      <c r="O31" t="s">
        <v>4227</v>
      </c>
      <c r="P31">
        <v>0</v>
      </c>
      <c r="Q31">
        <v>18</v>
      </c>
      <c r="R31" s="34">
        <f t="shared" si="1"/>
        <v>0</v>
      </c>
    </row>
    <row r="32" spans="1:18" ht="45" x14ac:dyDescent="0.25">
      <c r="A32" s="50" t="s">
        <v>4212</v>
      </c>
      <c r="B32">
        <v>15</v>
      </c>
      <c r="C32" s="50">
        <f t="shared" si="0"/>
        <v>24</v>
      </c>
      <c r="D32" s="341" t="s">
        <v>3963</v>
      </c>
      <c r="E32" s="341" t="s">
        <v>3870</v>
      </c>
      <c r="F32" s="341" t="s">
        <v>3973</v>
      </c>
      <c r="G32" s="341" t="s">
        <v>3923</v>
      </c>
      <c r="H32" s="341" t="s">
        <v>3992</v>
      </c>
      <c r="I32" s="341" t="s">
        <v>4144</v>
      </c>
      <c r="J32" s="341" t="s">
        <v>3993</v>
      </c>
      <c r="K32" s="341" t="s">
        <v>3994</v>
      </c>
      <c r="L32" s="341" t="s">
        <v>836</v>
      </c>
      <c r="M32" s="341" t="s">
        <v>836</v>
      </c>
      <c r="N32" s="341" t="s">
        <v>3938</v>
      </c>
      <c r="O32" t="s">
        <v>4227</v>
      </c>
      <c r="P32">
        <v>0</v>
      </c>
      <c r="Q32">
        <v>6</v>
      </c>
      <c r="R32" s="34">
        <f t="shared" si="1"/>
        <v>0</v>
      </c>
    </row>
    <row r="33" spans="1:18" ht="45" x14ac:dyDescent="0.25">
      <c r="A33" s="50" t="s">
        <v>4201</v>
      </c>
      <c r="B33">
        <v>19</v>
      </c>
      <c r="C33" s="50">
        <f t="shared" si="0"/>
        <v>25</v>
      </c>
      <c r="D33" s="341" t="s">
        <v>3956</v>
      </c>
      <c r="E33" s="341" t="s">
        <v>3870</v>
      </c>
      <c r="F33" s="341" t="s">
        <v>3890</v>
      </c>
      <c r="G33" s="341" t="s">
        <v>3995</v>
      </c>
      <c r="H33" s="341" t="s">
        <v>3935</v>
      </c>
      <c r="I33" s="341" t="s">
        <v>4139</v>
      </c>
      <c r="J33" s="341" t="s">
        <v>3996</v>
      </c>
      <c r="K33" s="341" t="s">
        <v>3997</v>
      </c>
      <c r="L33" s="341" t="s">
        <v>836</v>
      </c>
      <c r="M33" s="341" t="s">
        <v>836</v>
      </c>
      <c r="N33" s="341" t="s">
        <v>3998</v>
      </c>
      <c r="O33" t="s">
        <v>4227</v>
      </c>
      <c r="P33">
        <v>0</v>
      </c>
      <c r="Q33">
        <v>16</v>
      </c>
      <c r="R33" s="34">
        <f t="shared" si="1"/>
        <v>0</v>
      </c>
    </row>
    <row r="34" spans="1:18" ht="45" x14ac:dyDescent="0.25">
      <c r="A34" s="50" t="s">
        <v>4209</v>
      </c>
      <c r="B34">
        <v>13</v>
      </c>
      <c r="C34" s="50">
        <f t="shared" si="0"/>
        <v>26</v>
      </c>
      <c r="D34" s="341" t="s">
        <v>3890</v>
      </c>
      <c r="E34" s="341" t="s">
        <v>3870</v>
      </c>
      <c r="F34" s="341" t="s">
        <v>3890</v>
      </c>
      <c r="G34" s="341" t="s">
        <v>3923</v>
      </c>
      <c r="H34" s="341" t="s">
        <v>3890</v>
      </c>
      <c r="I34" s="341" t="s">
        <v>3890</v>
      </c>
      <c r="J34" s="341" t="s">
        <v>3999</v>
      </c>
      <c r="K34" s="341" t="s">
        <v>4000</v>
      </c>
      <c r="L34" s="341" t="s">
        <v>4001</v>
      </c>
      <c r="M34" s="341" t="s">
        <v>4002</v>
      </c>
      <c r="N34" s="341" t="s">
        <v>4003</v>
      </c>
      <c r="O34" t="s">
        <v>4230</v>
      </c>
      <c r="P34">
        <v>18</v>
      </c>
      <c r="Q34">
        <v>18</v>
      </c>
      <c r="R34" s="34">
        <f t="shared" si="1"/>
        <v>1</v>
      </c>
    </row>
    <row r="35" spans="1:18" ht="60" x14ac:dyDescent="0.25">
      <c r="A35" s="50" t="s">
        <v>4213</v>
      </c>
      <c r="B35" t="s">
        <v>4239</v>
      </c>
      <c r="C35" s="50">
        <f t="shared" si="0"/>
        <v>27</v>
      </c>
      <c r="D35" s="341" t="s">
        <v>4004</v>
      </c>
      <c r="E35" s="341" t="s">
        <v>3870</v>
      </c>
      <c r="F35" s="341" t="s">
        <v>4005</v>
      </c>
      <c r="G35" s="341" t="s">
        <v>4006</v>
      </c>
      <c r="H35" s="341" t="s">
        <v>4007</v>
      </c>
      <c r="I35" s="341" t="s">
        <v>4145</v>
      </c>
      <c r="J35" s="341" t="s">
        <v>3981</v>
      </c>
      <c r="K35" s="341" t="s">
        <v>4008</v>
      </c>
      <c r="L35" s="341" t="s">
        <v>836</v>
      </c>
      <c r="M35" s="341" t="s">
        <v>836</v>
      </c>
      <c r="N35" s="341" t="s">
        <v>4009</v>
      </c>
      <c r="O35" t="s">
        <v>4227</v>
      </c>
      <c r="P35">
        <v>0</v>
      </c>
      <c r="Q35">
        <v>32</v>
      </c>
      <c r="R35" s="34">
        <f t="shared" si="1"/>
        <v>0</v>
      </c>
    </row>
    <row r="36" spans="1:18" ht="45" x14ac:dyDescent="0.25">
      <c r="A36" s="50" t="s">
        <v>4207</v>
      </c>
      <c r="B36" t="s">
        <v>4233</v>
      </c>
      <c r="C36" s="50">
        <f t="shared" si="0"/>
        <v>28</v>
      </c>
      <c r="D36" s="341" t="s">
        <v>4010</v>
      </c>
      <c r="E36" s="341" t="s">
        <v>3870</v>
      </c>
      <c r="F36" s="341" t="s">
        <v>4011</v>
      </c>
      <c r="G36" s="341" t="s">
        <v>4012</v>
      </c>
      <c r="H36" s="341" t="s">
        <v>4013</v>
      </c>
      <c r="I36" s="341" t="s">
        <v>4142</v>
      </c>
      <c r="J36" s="341" t="s">
        <v>3946</v>
      </c>
      <c r="K36" s="341" t="s">
        <v>3926</v>
      </c>
      <c r="L36" s="341" t="s">
        <v>836</v>
      </c>
      <c r="M36" s="341" t="s">
        <v>836</v>
      </c>
      <c r="N36" s="341" t="s">
        <v>4014</v>
      </c>
      <c r="O36" t="s">
        <v>4224</v>
      </c>
      <c r="P36">
        <v>1</v>
      </c>
      <c r="Q36">
        <v>2</v>
      </c>
      <c r="R36" s="34">
        <f t="shared" si="1"/>
        <v>0.5</v>
      </c>
    </row>
    <row r="37" spans="1:18" ht="45" x14ac:dyDescent="0.25">
      <c r="A37" s="50" t="s">
        <v>4214</v>
      </c>
      <c r="B37">
        <v>26</v>
      </c>
      <c r="C37" s="50">
        <f t="shared" si="0"/>
        <v>29</v>
      </c>
      <c r="D37" s="341" t="s">
        <v>4010</v>
      </c>
      <c r="E37" s="341" t="s">
        <v>3870</v>
      </c>
      <c r="F37" s="341" t="s">
        <v>4015</v>
      </c>
      <c r="G37" s="341" t="s">
        <v>4016</v>
      </c>
      <c r="H37" s="341" t="s">
        <v>4017</v>
      </c>
      <c r="I37" s="341" t="s">
        <v>4018</v>
      </c>
      <c r="J37" s="341" t="s">
        <v>4019</v>
      </c>
      <c r="K37" s="341" t="s">
        <v>4020</v>
      </c>
      <c r="L37" s="341" t="s">
        <v>836</v>
      </c>
      <c r="M37" s="341" t="s">
        <v>4021</v>
      </c>
      <c r="N37" s="341" t="s">
        <v>4022</v>
      </c>
      <c r="O37" t="s">
        <v>4253</v>
      </c>
      <c r="P37">
        <v>3</v>
      </c>
      <c r="Q37">
        <v>160</v>
      </c>
      <c r="R37" s="34">
        <f t="shared" si="1"/>
        <v>1.8749999999999999E-2</v>
      </c>
    </row>
    <row r="38" spans="1:18" ht="135" x14ac:dyDescent="0.25">
      <c r="A38" s="50" t="s">
        <v>4205</v>
      </c>
      <c r="B38">
        <v>28</v>
      </c>
      <c r="C38" s="50">
        <f t="shared" si="0"/>
        <v>30</v>
      </c>
      <c r="D38" s="341" t="s">
        <v>4023</v>
      </c>
      <c r="E38" s="341" t="s">
        <v>3870</v>
      </c>
      <c r="F38" s="341" t="s">
        <v>4024</v>
      </c>
      <c r="G38" s="341" t="s">
        <v>4025</v>
      </c>
      <c r="H38" s="341" t="s">
        <v>4026</v>
      </c>
      <c r="I38" s="341" t="s">
        <v>4136</v>
      </c>
      <c r="J38" s="341" t="s">
        <v>3936</v>
      </c>
      <c r="K38" s="341" t="s">
        <v>3937</v>
      </c>
      <c r="L38" s="341" t="s">
        <v>836</v>
      </c>
      <c r="M38" s="341" t="s">
        <v>836</v>
      </c>
      <c r="N38" s="341" t="s">
        <v>3938</v>
      </c>
      <c r="O38" t="s">
        <v>4227</v>
      </c>
      <c r="P38">
        <v>0</v>
      </c>
      <c r="Q38">
        <v>6</v>
      </c>
      <c r="R38" s="34">
        <f t="shared" si="1"/>
        <v>0</v>
      </c>
    </row>
    <row r="39" spans="1:18" ht="75" x14ac:dyDescent="0.25">
      <c r="A39" s="50" t="s">
        <v>4215</v>
      </c>
      <c r="B39">
        <v>30</v>
      </c>
      <c r="C39" s="50">
        <f t="shared" si="0"/>
        <v>31</v>
      </c>
      <c r="D39" s="341" t="s">
        <v>4010</v>
      </c>
      <c r="E39" s="341" t="s">
        <v>3870</v>
      </c>
      <c r="F39" s="341" t="s">
        <v>4027</v>
      </c>
      <c r="G39" s="341" t="s">
        <v>3995</v>
      </c>
      <c r="H39" s="341" t="s">
        <v>4028</v>
      </c>
      <c r="I39" s="341" t="s">
        <v>4029</v>
      </c>
      <c r="J39" s="341" t="s">
        <v>4030</v>
      </c>
      <c r="K39" s="341" t="s">
        <v>4031</v>
      </c>
      <c r="L39" s="341" t="s">
        <v>4032</v>
      </c>
      <c r="M39" s="341" t="s">
        <v>4033</v>
      </c>
      <c r="N39" s="341" t="s">
        <v>4034</v>
      </c>
      <c r="O39" t="s">
        <v>4224</v>
      </c>
      <c r="P39">
        <v>4</v>
      </c>
      <c r="Q39">
        <v>4</v>
      </c>
      <c r="R39" s="34">
        <f t="shared" si="1"/>
        <v>1</v>
      </c>
    </row>
    <row r="40" spans="1:18" ht="30" x14ac:dyDescent="0.25">
      <c r="A40" s="50" t="s">
        <v>4196</v>
      </c>
      <c r="B40" t="s">
        <v>4223</v>
      </c>
      <c r="C40" s="50">
        <f t="shared" si="0"/>
        <v>32</v>
      </c>
      <c r="D40" s="341" t="s">
        <v>4036</v>
      </c>
      <c r="E40" s="341" t="s">
        <v>4035</v>
      </c>
      <c r="F40" s="341" t="s">
        <v>836</v>
      </c>
      <c r="G40" s="341" t="s">
        <v>4037</v>
      </c>
      <c r="H40" s="341" t="s">
        <v>4038</v>
      </c>
      <c r="I40" s="341" t="s">
        <v>836</v>
      </c>
      <c r="J40" s="341" t="s">
        <v>4039</v>
      </c>
      <c r="K40" s="341" t="s">
        <v>3892</v>
      </c>
      <c r="L40" s="341">
        <v>1</v>
      </c>
      <c r="M40" s="341" t="s">
        <v>836</v>
      </c>
      <c r="N40" s="341" t="s">
        <v>3942</v>
      </c>
      <c r="O40" t="s">
        <v>4224</v>
      </c>
      <c r="P40">
        <v>1</v>
      </c>
      <c r="Q40">
        <v>1</v>
      </c>
      <c r="R40" s="34">
        <f t="shared" si="1"/>
        <v>1</v>
      </c>
    </row>
    <row r="41" spans="1:18" ht="30" x14ac:dyDescent="0.25">
      <c r="A41" s="50" t="s">
        <v>4208</v>
      </c>
      <c r="B41">
        <v>3</v>
      </c>
      <c r="C41" s="50">
        <f t="shared" si="0"/>
        <v>33</v>
      </c>
      <c r="D41" s="341" t="s">
        <v>3956</v>
      </c>
      <c r="E41" s="341" t="s">
        <v>4035</v>
      </c>
      <c r="F41" s="341" t="s">
        <v>836</v>
      </c>
      <c r="G41" s="341" t="s">
        <v>3923</v>
      </c>
      <c r="H41" s="341" t="s">
        <v>3890</v>
      </c>
      <c r="I41" s="341" t="s">
        <v>836</v>
      </c>
      <c r="J41" s="341" t="s">
        <v>4040</v>
      </c>
      <c r="K41" s="341" t="s">
        <v>3961</v>
      </c>
      <c r="L41" s="341" t="s">
        <v>836</v>
      </c>
      <c r="M41" s="341" t="s">
        <v>836</v>
      </c>
      <c r="N41" s="341" t="s">
        <v>3938</v>
      </c>
      <c r="O41" t="s">
        <v>4230</v>
      </c>
      <c r="P41">
        <v>0</v>
      </c>
      <c r="Q41">
        <v>6</v>
      </c>
      <c r="R41" s="34">
        <f t="shared" si="1"/>
        <v>0</v>
      </c>
    </row>
    <row r="42" spans="1:18" ht="30" x14ac:dyDescent="0.25">
      <c r="A42" s="50" t="s">
        <v>4199</v>
      </c>
      <c r="B42">
        <v>22</v>
      </c>
      <c r="C42" s="50">
        <f t="shared" si="0"/>
        <v>34</v>
      </c>
      <c r="D42" s="341" t="s">
        <v>3963</v>
      </c>
      <c r="E42" s="341" t="s">
        <v>4035</v>
      </c>
      <c r="F42" s="341" t="s">
        <v>836</v>
      </c>
      <c r="G42" s="341" t="s">
        <v>4041</v>
      </c>
      <c r="H42" s="341" t="s">
        <v>3890</v>
      </c>
      <c r="I42" s="341" t="s">
        <v>836</v>
      </c>
      <c r="J42" s="341" t="s">
        <v>4042</v>
      </c>
      <c r="K42" s="341" t="s">
        <v>3903</v>
      </c>
      <c r="L42" s="341" t="s">
        <v>836</v>
      </c>
      <c r="M42" s="341" t="s">
        <v>836</v>
      </c>
      <c r="N42" s="341" t="s">
        <v>4043</v>
      </c>
      <c r="O42" t="s">
        <v>4230</v>
      </c>
      <c r="P42">
        <v>2</v>
      </c>
      <c r="Q42">
        <v>2</v>
      </c>
      <c r="R42" s="34">
        <f t="shared" si="1"/>
        <v>1</v>
      </c>
    </row>
    <row r="43" spans="1:18" ht="45" x14ac:dyDescent="0.25">
      <c r="A43" s="50" t="s">
        <v>4201</v>
      </c>
      <c r="B43" t="s">
        <v>4238</v>
      </c>
      <c r="C43" s="50">
        <f t="shared" si="0"/>
        <v>35</v>
      </c>
      <c r="D43" s="341" t="s">
        <v>4044</v>
      </c>
      <c r="E43" s="341" t="s">
        <v>4035</v>
      </c>
      <c r="F43" s="341" t="s">
        <v>836</v>
      </c>
      <c r="G43" s="341" t="s">
        <v>4045</v>
      </c>
      <c r="H43" s="341" t="s">
        <v>3890</v>
      </c>
      <c r="I43" s="341" t="s">
        <v>836</v>
      </c>
      <c r="J43" s="341" t="s">
        <v>4046</v>
      </c>
      <c r="K43" s="341" t="s">
        <v>3986</v>
      </c>
      <c r="L43" s="341">
        <v>0.46400000000000002</v>
      </c>
      <c r="M43" s="341" t="s">
        <v>3952</v>
      </c>
      <c r="N43" s="341" t="s">
        <v>4014</v>
      </c>
      <c r="O43" t="s">
        <v>4230</v>
      </c>
      <c r="P43">
        <v>1</v>
      </c>
      <c r="Q43">
        <v>2</v>
      </c>
      <c r="R43" s="34">
        <f t="shared" si="1"/>
        <v>0.5</v>
      </c>
    </row>
    <row r="44" spans="1:18" ht="30" x14ac:dyDescent="0.25">
      <c r="A44" s="50" t="s">
        <v>4201</v>
      </c>
      <c r="B44">
        <v>19</v>
      </c>
      <c r="C44" s="50">
        <f t="shared" si="0"/>
        <v>36</v>
      </c>
      <c r="D44" s="341" t="s">
        <v>4047</v>
      </c>
      <c r="E44" s="341" t="s">
        <v>4035</v>
      </c>
      <c r="F44" s="341" t="s">
        <v>836</v>
      </c>
      <c r="G44" s="341" t="s">
        <v>4048</v>
      </c>
      <c r="H44" s="341" t="s">
        <v>4026</v>
      </c>
      <c r="I44" s="341" t="s">
        <v>836</v>
      </c>
      <c r="J44" s="341" t="s">
        <v>4049</v>
      </c>
      <c r="K44" s="341" t="s">
        <v>3997</v>
      </c>
      <c r="L44" s="341" t="s">
        <v>836</v>
      </c>
      <c r="M44" s="341" t="s">
        <v>836</v>
      </c>
      <c r="N44" s="341" t="s">
        <v>3932</v>
      </c>
      <c r="O44" t="s">
        <v>4227</v>
      </c>
      <c r="P44">
        <v>0</v>
      </c>
      <c r="Q44">
        <v>3</v>
      </c>
      <c r="R44" s="34">
        <f t="shared" si="1"/>
        <v>0</v>
      </c>
    </row>
    <row r="45" spans="1:18" ht="30" x14ac:dyDescent="0.25">
      <c r="A45" s="50" t="s">
        <v>4203</v>
      </c>
      <c r="B45">
        <v>18</v>
      </c>
      <c r="C45" s="50">
        <f t="shared" si="0"/>
        <v>37</v>
      </c>
      <c r="D45" s="341" t="s">
        <v>4050</v>
      </c>
      <c r="E45" s="341" t="s">
        <v>4035</v>
      </c>
      <c r="F45" s="341" t="s">
        <v>836</v>
      </c>
      <c r="G45" s="341" t="s">
        <v>4051</v>
      </c>
      <c r="H45" s="341" t="s">
        <v>4052</v>
      </c>
      <c r="I45" s="341" t="s">
        <v>836</v>
      </c>
      <c r="J45" s="341" t="s">
        <v>4053</v>
      </c>
      <c r="K45" s="341" t="s">
        <v>3926</v>
      </c>
      <c r="L45" s="341" t="s">
        <v>836</v>
      </c>
      <c r="M45" s="341" t="s">
        <v>836</v>
      </c>
      <c r="N45" s="341" t="s">
        <v>4054</v>
      </c>
      <c r="O45" t="s">
        <v>4224</v>
      </c>
      <c r="P45">
        <v>1</v>
      </c>
      <c r="Q45">
        <v>7</v>
      </c>
      <c r="R45" s="34">
        <f t="shared" si="1"/>
        <v>0.14285714285714285</v>
      </c>
    </row>
    <row r="46" spans="1:18" ht="30" x14ac:dyDescent="0.25">
      <c r="A46" s="50" t="s">
        <v>4196</v>
      </c>
      <c r="B46" t="s">
        <v>4223</v>
      </c>
      <c r="C46" s="50">
        <f t="shared" si="0"/>
        <v>38</v>
      </c>
      <c r="D46" s="341" t="s">
        <v>4036</v>
      </c>
      <c r="E46" s="341" t="s">
        <v>4055</v>
      </c>
      <c r="F46" s="341" t="s">
        <v>3890</v>
      </c>
      <c r="G46" s="341" t="s">
        <v>4056</v>
      </c>
      <c r="H46" s="341" t="s">
        <v>4026</v>
      </c>
      <c r="I46" s="341" t="s">
        <v>3890</v>
      </c>
      <c r="J46" s="341" t="s">
        <v>4057</v>
      </c>
      <c r="K46" s="341" t="s">
        <v>3951</v>
      </c>
      <c r="L46" s="341" t="s">
        <v>4058</v>
      </c>
      <c r="M46" s="341" t="s">
        <v>836</v>
      </c>
      <c r="N46" s="341" t="s">
        <v>4059</v>
      </c>
      <c r="O46" t="s">
        <v>4224</v>
      </c>
      <c r="P46">
        <v>4</v>
      </c>
      <c r="Q46">
        <v>5</v>
      </c>
      <c r="R46" s="34">
        <f t="shared" si="1"/>
        <v>0.8</v>
      </c>
    </row>
    <row r="47" spans="1:18" ht="30" x14ac:dyDescent="0.25">
      <c r="A47" s="50" t="s">
        <v>4208</v>
      </c>
      <c r="B47">
        <v>3</v>
      </c>
      <c r="C47" s="50">
        <f t="shared" si="0"/>
        <v>39</v>
      </c>
      <c r="D47" s="341" t="s">
        <v>4060</v>
      </c>
      <c r="E47" s="341" t="s">
        <v>4055</v>
      </c>
      <c r="F47" s="341" t="s">
        <v>3890</v>
      </c>
      <c r="G47" s="341" t="s">
        <v>4061</v>
      </c>
      <c r="H47" s="341" t="s">
        <v>836</v>
      </c>
      <c r="I47" s="341" t="s">
        <v>3890</v>
      </c>
      <c r="J47" s="341" t="s">
        <v>4062</v>
      </c>
      <c r="K47" s="341" t="s">
        <v>3961</v>
      </c>
      <c r="L47" s="341" t="s">
        <v>836</v>
      </c>
      <c r="M47" s="341" t="s">
        <v>836</v>
      </c>
      <c r="N47" s="341" t="s">
        <v>3988</v>
      </c>
      <c r="O47" t="s">
        <v>4230</v>
      </c>
      <c r="P47">
        <v>0</v>
      </c>
      <c r="Q47">
        <v>12</v>
      </c>
      <c r="R47" s="34">
        <f t="shared" si="1"/>
        <v>0</v>
      </c>
    </row>
    <row r="48" spans="1:18" ht="30" x14ac:dyDescent="0.25">
      <c r="A48" s="50" t="s">
        <v>4209</v>
      </c>
      <c r="B48">
        <v>12</v>
      </c>
      <c r="C48" s="50">
        <f t="shared" si="0"/>
        <v>40</v>
      </c>
      <c r="D48" s="341" t="s">
        <v>3890</v>
      </c>
      <c r="E48" s="341" t="s">
        <v>4055</v>
      </c>
      <c r="F48" s="341" t="s">
        <v>3922</v>
      </c>
      <c r="G48" s="341" t="s">
        <v>4063</v>
      </c>
      <c r="H48" s="341" t="s">
        <v>836</v>
      </c>
      <c r="I48" s="341" t="s">
        <v>4064</v>
      </c>
      <c r="J48" s="341" t="s">
        <v>3965</v>
      </c>
      <c r="K48" s="341" t="s">
        <v>3966</v>
      </c>
      <c r="L48" s="341" t="s">
        <v>4065</v>
      </c>
      <c r="M48" s="341" t="s">
        <v>3932</v>
      </c>
      <c r="N48" s="341" t="s">
        <v>3894</v>
      </c>
      <c r="O48" t="s">
        <v>4230</v>
      </c>
      <c r="P48">
        <v>2</v>
      </c>
      <c r="Q48">
        <v>3</v>
      </c>
      <c r="R48" s="34">
        <f t="shared" si="1"/>
        <v>0.66666666666666663</v>
      </c>
    </row>
    <row r="49" spans="1:18" ht="60" x14ac:dyDescent="0.25">
      <c r="A49" s="50" t="s">
        <v>4198</v>
      </c>
      <c r="B49" t="s">
        <v>4228</v>
      </c>
      <c r="C49" s="50">
        <f t="shared" si="0"/>
        <v>41</v>
      </c>
      <c r="D49" s="341" t="s">
        <v>4066</v>
      </c>
      <c r="E49" s="341" t="s">
        <v>4055</v>
      </c>
      <c r="F49" s="341" t="s">
        <v>4067</v>
      </c>
      <c r="G49" s="341" t="s">
        <v>4068</v>
      </c>
      <c r="H49" s="341" t="s">
        <v>3890</v>
      </c>
      <c r="I49" s="341" t="s">
        <v>3890</v>
      </c>
      <c r="J49" s="341" t="s">
        <v>2041</v>
      </c>
      <c r="K49" s="341" t="s">
        <v>4069</v>
      </c>
      <c r="L49" s="341" t="s">
        <v>4070</v>
      </c>
      <c r="M49" s="341" t="s">
        <v>836</v>
      </c>
      <c r="N49" s="341" t="s">
        <v>4071</v>
      </c>
      <c r="O49" t="s">
        <v>4230</v>
      </c>
      <c r="P49">
        <v>1</v>
      </c>
      <c r="Q49">
        <v>34</v>
      </c>
      <c r="R49" s="34">
        <f t="shared" si="1"/>
        <v>2.9411764705882353E-2</v>
      </c>
    </row>
    <row r="50" spans="1:18" ht="45" x14ac:dyDescent="0.25">
      <c r="A50" s="50" t="s">
        <v>4216</v>
      </c>
      <c r="B50">
        <v>20</v>
      </c>
      <c r="C50" s="50">
        <f t="shared" si="0"/>
        <v>42</v>
      </c>
      <c r="D50" s="341" t="s">
        <v>4072</v>
      </c>
      <c r="E50" s="341" t="s">
        <v>4055</v>
      </c>
      <c r="F50" s="341" t="s">
        <v>4073</v>
      </c>
      <c r="G50" s="341" t="s">
        <v>3890</v>
      </c>
      <c r="H50" s="341" t="s">
        <v>3890</v>
      </c>
      <c r="I50" s="341" t="s">
        <v>3890</v>
      </c>
      <c r="J50" s="341" t="s">
        <v>3999</v>
      </c>
      <c r="K50" s="341" t="s">
        <v>4074</v>
      </c>
      <c r="L50" s="341" t="s">
        <v>836</v>
      </c>
      <c r="M50" s="341" t="s">
        <v>836</v>
      </c>
      <c r="N50" s="341" t="s">
        <v>4075</v>
      </c>
      <c r="O50" t="s">
        <v>4230</v>
      </c>
      <c r="P50">
        <v>0</v>
      </c>
      <c r="Q50">
        <v>69</v>
      </c>
      <c r="R50" s="34">
        <f t="shared" si="1"/>
        <v>0</v>
      </c>
    </row>
    <row r="51" spans="1:18" ht="75" x14ac:dyDescent="0.25">
      <c r="A51" s="50" t="s">
        <v>4201</v>
      </c>
      <c r="B51" t="s">
        <v>4238</v>
      </c>
      <c r="C51" s="50">
        <f t="shared" si="0"/>
        <v>43</v>
      </c>
      <c r="D51" s="341" t="s">
        <v>4060</v>
      </c>
      <c r="E51" s="341" t="s">
        <v>4055</v>
      </c>
      <c r="F51" s="341" t="s">
        <v>3890</v>
      </c>
      <c r="G51" s="341" t="s">
        <v>4076</v>
      </c>
      <c r="H51" s="341" t="s">
        <v>3890</v>
      </c>
      <c r="I51" s="341" t="s">
        <v>3890</v>
      </c>
      <c r="J51" s="341" t="s">
        <v>4046</v>
      </c>
      <c r="K51" s="341" t="s">
        <v>3986</v>
      </c>
      <c r="L51" s="341" t="s">
        <v>4149</v>
      </c>
      <c r="M51" s="341" t="s">
        <v>4150</v>
      </c>
      <c r="N51" s="341" t="s">
        <v>3978</v>
      </c>
      <c r="O51" t="s">
        <v>4230</v>
      </c>
      <c r="P51">
        <v>4</v>
      </c>
      <c r="Q51">
        <v>10</v>
      </c>
      <c r="R51" s="34">
        <f t="shared" si="1"/>
        <v>0.4</v>
      </c>
    </row>
    <row r="52" spans="1:18" ht="30" x14ac:dyDescent="0.25">
      <c r="A52" s="50" t="s">
        <v>4200</v>
      </c>
      <c r="B52">
        <v>10</v>
      </c>
      <c r="C52" s="50">
        <f t="shared" si="0"/>
        <v>44</v>
      </c>
      <c r="D52" s="341" t="s">
        <v>4060</v>
      </c>
      <c r="E52" s="341" t="s">
        <v>4055</v>
      </c>
      <c r="F52" s="341" t="s">
        <v>3684</v>
      </c>
      <c r="G52" s="341" t="s">
        <v>4077</v>
      </c>
      <c r="H52" s="341" t="s">
        <v>4078</v>
      </c>
      <c r="I52" s="341" t="s">
        <v>3890</v>
      </c>
      <c r="J52" s="341" t="s">
        <v>4079</v>
      </c>
      <c r="K52" s="341" t="s">
        <v>3911</v>
      </c>
      <c r="L52" s="341" t="s">
        <v>836</v>
      </c>
      <c r="M52" s="341" t="s">
        <v>836</v>
      </c>
      <c r="N52" s="341" t="s">
        <v>4080</v>
      </c>
      <c r="O52" t="s">
        <v>4227</v>
      </c>
      <c r="P52">
        <v>0</v>
      </c>
      <c r="Q52">
        <v>45</v>
      </c>
      <c r="R52" s="34">
        <f t="shared" si="1"/>
        <v>0</v>
      </c>
    </row>
    <row r="53" spans="1:18" ht="30" x14ac:dyDescent="0.25">
      <c r="A53" s="50" t="s">
        <v>4201</v>
      </c>
      <c r="B53">
        <v>19</v>
      </c>
      <c r="C53" s="50">
        <f t="shared" si="0"/>
        <v>45</v>
      </c>
      <c r="D53" s="341" t="s">
        <v>3890</v>
      </c>
      <c r="E53" s="341" t="s">
        <v>4055</v>
      </c>
      <c r="F53" s="341" t="s">
        <v>3890</v>
      </c>
      <c r="G53" s="341" t="s">
        <v>4081</v>
      </c>
      <c r="H53" s="341" t="s">
        <v>4026</v>
      </c>
      <c r="I53" s="341" t="s">
        <v>3890</v>
      </c>
      <c r="J53" s="341" t="s">
        <v>4082</v>
      </c>
      <c r="K53" s="341" t="s">
        <v>3997</v>
      </c>
      <c r="L53" s="341" t="s">
        <v>836</v>
      </c>
      <c r="M53" s="341" t="s">
        <v>836</v>
      </c>
      <c r="N53" s="341" t="s">
        <v>3962</v>
      </c>
      <c r="O53" t="s">
        <v>4227</v>
      </c>
      <c r="P53">
        <v>0</v>
      </c>
      <c r="Q53">
        <v>18</v>
      </c>
      <c r="R53" s="34">
        <f t="shared" si="1"/>
        <v>0</v>
      </c>
    </row>
    <row r="54" spans="1:18" x14ac:dyDescent="0.25">
      <c r="A54" s="50" t="s">
        <v>4202</v>
      </c>
      <c r="B54">
        <v>23</v>
      </c>
      <c r="C54" s="50">
        <f t="shared" si="0"/>
        <v>46</v>
      </c>
      <c r="D54" s="341" t="s">
        <v>3890</v>
      </c>
      <c r="E54" s="341" t="s">
        <v>4055</v>
      </c>
      <c r="F54" s="341" t="s">
        <v>3890</v>
      </c>
      <c r="G54" s="341" t="s">
        <v>4083</v>
      </c>
      <c r="H54" s="341" t="s">
        <v>3890</v>
      </c>
      <c r="I54" s="341" t="s">
        <v>3890</v>
      </c>
      <c r="J54" s="341" t="s">
        <v>4082</v>
      </c>
      <c r="K54" s="341" t="s">
        <v>3926</v>
      </c>
      <c r="L54" s="341" t="s">
        <v>836</v>
      </c>
      <c r="M54" s="341" t="s">
        <v>836</v>
      </c>
      <c r="N54" s="341" t="s">
        <v>4084</v>
      </c>
      <c r="O54" t="s">
        <v>4230</v>
      </c>
      <c r="P54">
        <v>8</v>
      </c>
      <c r="Q54">
        <v>8</v>
      </c>
      <c r="R54" s="34">
        <f t="shared" si="1"/>
        <v>1</v>
      </c>
    </row>
    <row r="55" spans="1:18" ht="45" x14ac:dyDescent="0.25">
      <c r="A55" s="50" t="s">
        <v>4203</v>
      </c>
      <c r="B55">
        <v>18</v>
      </c>
      <c r="C55" s="50">
        <f t="shared" si="0"/>
        <v>47</v>
      </c>
      <c r="D55" s="341" t="s">
        <v>4010</v>
      </c>
      <c r="E55" s="341" t="s">
        <v>4055</v>
      </c>
      <c r="F55" s="341" t="s">
        <v>4085</v>
      </c>
      <c r="G55" s="341" t="s">
        <v>4086</v>
      </c>
      <c r="H55" s="341" t="s">
        <v>4087</v>
      </c>
      <c r="I55" s="341" t="s">
        <v>3890</v>
      </c>
      <c r="J55" s="341" t="s">
        <v>4088</v>
      </c>
      <c r="K55" s="341" t="s">
        <v>3926</v>
      </c>
      <c r="L55" s="341" t="s">
        <v>836</v>
      </c>
      <c r="M55" s="341" t="s">
        <v>836</v>
      </c>
      <c r="N55" s="341" t="s">
        <v>4089</v>
      </c>
      <c r="O55" t="s">
        <v>4253</v>
      </c>
      <c r="P55">
        <v>1</v>
      </c>
      <c r="Q55">
        <v>12</v>
      </c>
      <c r="R55" s="34">
        <f t="shared" si="1"/>
        <v>8.3333333333333329E-2</v>
      </c>
    </row>
    <row r="56" spans="1:18" ht="45" x14ac:dyDescent="0.25">
      <c r="A56" s="50" t="s">
        <v>4213</v>
      </c>
      <c r="B56" t="s">
        <v>4239</v>
      </c>
      <c r="C56" s="50">
        <f t="shared" si="0"/>
        <v>48</v>
      </c>
      <c r="D56" s="341" t="s">
        <v>4004</v>
      </c>
      <c r="E56" s="341" t="s">
        <v>4055</v>
      </c>
      <c r="F56" s="341" t="s">
        <v>4005</v>
      </c>
      <c r="G56" s="341" t="s">
        <v>4090</v>
      </c>
      <c r="H56" s="341" t="s">
        <v>3890</v>
      </c>
      <c r="I56" s="341" t="s">
        <v>3890</v>
      </c>
      <c r="J56" s="341" t="s">
        <v>3981</v>
      </c>
      <c r="K56" s="341" t="s">
        <v>3994</v>
      </c>
      <c r="L56" s="341" t="s">
        <v>836</v>
      </c>
      <c r="M56" s="341" t="s">
        <v>836</v>
      </c>
      <c r="N56" s="341" t="s">
        <v>4091</v>
      </c>
      <c r="O56" t="s">
        <v>4230</v>
      </c>
      <c r="P56">
        <v>0</v>
      </c>
      <c r="Q56">
        <v>20</v>
      </c>
      <c r="R56" s="34">
        <f t="shared" si="1"/>
        <v>0</v>
      </c>
    </row>
    <row r="57" spans="1:18" ht="30" x14ac:dyDescent="0.25">
      <c r="A57" s="50" t="s">
        <v>4205</v>
      </c>
      <c r="B57">
        <v>28</v>
      </c>
      <c r="C57" s="50">
        <f t="shared" si="0"/>
        <v>49</v>
      </c>
      <c r="D57" s="341" t="s">
        <v>4092</v>
      </c>
      <c r="E57" s="341" t="s">
        <v>4055</v>
      </c>
      <c r="F57" s="341" t="s">
        <v>836</v>
      </c>
      <c r="G57" s="341" t="s">
        <v>836</v>
      </c>
      <c r="H57" s="341" t="s">
        <v>4026</v>
      </c>
      <c r="I57" s="341" t="s">
        <v>836</v>
      </c>
      <c r="J57" s="341" t="s">
        <v>3936</v>
      </c>
      <c r="K57" s="341" t="s">
        <v>3937</v>
      </c>
      <c r="L57" s="341" t="s">
        <v>836</v>
      </c>
      <c r="M57" s="341" t="s">
        <v>836</v>
      </c>
      <c r="N57" s="341" t="s">
        <v>3955</v>
      </c>
      <c r="O57" t="s">
        <v>4227</v>
      </c>
      <c r="P57">
        <v>0</v>
      </c>
      <c r="Q57">
        <v>1</v>
      </c>
      <c r="R57" s="34">
        <f t="shared" si="1"/>
        <v>0</v>
      </c>
    </row>
    <row r="58" spans="1:18" ht="45" x14ac:dyDescent="0.25">
      <c r="A58" s="50" t="s">
        <v>4196</v>
      </c>
      <c r="B58" t="s">
        <v>4223</v>
      </c>
      <c r="C58" s="50">
        <f t="shared" si="0"/>
        <v>50</v>
      </c>
      <c r="D58" s="341" t="s">
        <v>2533</v>
      </c>
      <c r="E58" s="50" t="s">
        <v>4093</v>
      </c>
      <c r="F58" s="341" t="s">
        <v>836</v>
      </c>
      <c r="G58" s="341" t="s">
        <v>4094</v>
      </c>
      <c r="H58" s="341" t="s">
        <v>4095</v>
      </c>
      <c r="I58" s="341" t="s">
        <v>836</v>
      </c>
      <c r="J58" s="341" t="s">
        <v>4096</v>
      </c>
      <c r="K58" s="341" t="s">
        <v>4097</v>
      </c>
      <c r="L58" s="341" t="s">
        <v>4098</v>
      </c>
      <c r="M58" s="341" t="s">
        <v>836</v>
      </c>
      <c r="N58" s="341" t="s">
        <v>4099</v>
      </c>
      <c r="O58" t="s">
        <v>4224</v>
      </c>
      <c r="P58">
        <v>10</v>
      </c>
      <c r="Q58">
        <v>13</v>
      </c>
      <c r="R58" s="34">
        <f t="shared" si="1"/>
        <v>0.76923076923076927</v>
      </c>
    </row>
    <row r="59" spans="1:18" ht="30" x14ac:dyDescent="0.25">
      <c r="A59" s="50" t="s">
        <v>4209</v>
      </c>
      <c r="B59">
        <v>12</v>
      </c>
      <c r="C59" s="50">
        <f t="shared" si="0"/>
        <v>51</v>
      </c>
      <c r="D59" s="341" t="s">
        <v>3963</v>
      </c>
      <c r="E59" s="50" t="s">
        <v>4093</v>
      </c>
      <c r="F59" s="341" t="s">
        <v>836</v>
      </c>
      <c r="G59" s="341" t="s">
        <v>4100</v>
      </c>
      <c r="H59" s="341" t="s">
        <v>836</v>
      </c>
      <c r="I59" s="341" t="s">
        <v>3890</v>
      </c>
      <c r="J59" s="341" t="s">
        <v>836</v>
      </c>
      <c r="K59" s="341" t="s">
        <v>4101</v>
      </c>
      <c r="L59" s="341" t="s">
        <v>4102</v>
      </c>
      <c r="M59" s="341" t="s">
        <v>836</v>
      </c>
      <c r="N59" s="341" t="s">
        <v>4034</v>
      </c>
      <c r="O59" t="s">
        <v>4230</v>
      </c>
      <c r="P59">
        <v>4</v>
      </c>
      <c r="Q59">
        <v>4</v>
      </c>
      <c r="R59" s="34">
        <f t="shared" si="1"/>
        <v>1</v>
      </c>
    </row>
    <row r="60" spans="1:18" ht="30" x14ac:dyDescent="0.25">
      <c r="A60" s="50" t="s">
        <v>4198</v>
      </c>
      <c r="B60" t="s">
        <v>4228</v>
      </c>
      <c r="C60" s="50">
        <f t="shared" si="0"/>
        <v>52</v>
      </c>
      <c r="D60" s="341" t="s">
        <v>4103</v>
      </c>
      <c r="E60" s="50" t="s">
        <v>4093</v>
      </c>
      <c r="F60" s="341" t="s">
        <v>836</v>
      </c>
      <c r="G60" s="341" t="s">
        <v>4104</v>
      </c>
      <c r="H60" s="341" t="s">
        <v>836</v>
      </c>
      <c r="I60" s="341" t="s">
        <v>3890</v>
      </c>
      <c r="J60" s="341" t="s">
        <v>4105</v>
      </c>
      <c r="K60" s="341" t="s">
        <v>3903</v>
      </c>
      <c r="L60" s="341" t="s">
        <v>836</v>
      </c>
      <c r="M60" s="341" t="s">
        <v>836</v>
      </c>
      <c r="N60" s="341" t="s">
        <v>4106</v>
      </c>
      <c r="O60" t="s">
        <v>4230</v>
      </c>
      <c r="P60">
        <v>0</v>
      </c>
      <c r="Q60">
        <v>36</v>
      </c>
      <c r="R60" s="34">
        <f t="shared" si="1"/>
        <v>0</v>
      </c>
    </row>
    <row r="61" spans="1:18" ht="45" x14ac:dyDescent="0.25">
      <c r="A61" s="50" t="s">
        <v>4209</v>
      </c>
      <c r="B61">
        <v>13</v>
      </c>
      <c r="C61" s="50">
        <f t="shared" si="0"/>
        <v>53</v>
      </c>
      <c r="D61" s="341" t="s">
        <v>3890</v>
      </c>
      <c r="E61" s="50" t="s">
        <v>4093</v>
      </c>
      <c r="F61" s="341" t="s">
        <v>836</v>
      </c>
      <c r="G61" s="341" t="s">
        <v>4107</v>
      </c>
      <c r="H61" s="341" t="s">
        <v>836</v>
      </c>
      <c r="I61" s="341" t="s">
        <v>3890</v>
      </c>
      <c r="J61" s="341" t="s">
        <v>4046</v>
      </c>
      <c r="K61" s="341" t="s">
        <v>3986</v>
      </c>
      <c r="L61" s="341">
        <v>0.249</v>
      </c>
      <c r="M61" s="341" t="s">
        <v>4108</v>
      </c>
      <c r="N61" s="341" t="s">
        <v>4109</v>
      </c>
      <c r="O61" t="s">
        <v>4230</v>
      </c>
      <c r="P61">
        <v>1</v>
      </c>
      <c r="Q61">
        <v>4</v>
      </c>
      <c r="R61" s="34">
        <f t="shared" si="1"/>
        <v>0.25</v>
      </c>
    </row>
    <row r="62" spans="1:18" ht="30" x14ac:dyDescent="0.25">
      <c r="A62" s="50" t="s">
        <v>4200</v>
      </c>
      <c r="B62">
        <v>10</v>
      </c>
      <c r="C62" s="50">
        <f t="shared" si="0"/>
        <v>54</v>
      </c>
      <c r="D62" s="341" t="s">
        <v>4110</v>
      </c>
      <c r="E62" s="50" t="s">
        <v>4093</v>
      </c>
      <c r="F62" s="341" t="s">
        <v>836</v>
      </c>
      <c r="G62" s="341" t="s">
        <v>4111</v>
      </c>
      <c r="H62" s="341" t="s">
        <v>4112</v>
      </c>
      <c r="I62" s="341" t="s">
        <v>3890</v>
      </c>
      <c r="J62" s="341" t="s">
        <v>4113</v>
      </c>
      <c r="K62" s="341" t="s">
        <v>3911</v>
      </c>
      <c r="L62" s="341" t="s">
        <v>836</v>
      </c>
      <c r="M62" s="341" t="s">
        <v>836</v>
      </c>
      <c r="N62" s="341" t="s">
        <v>4080</v>
      </c>
      <c r="O62" t="s">
        <v>4227</v>
      </c>
      <c r="P62">
        <v>0</v>
      </c>
      <c r="Q62">
        <v>45</v>
      </c>
      <c r="R62" s="34">
        <f t="shared" si="1"/>
        <v>0</v>
      </c>
    </row>
    <row r="63" spans="1:18" ht="30" x14ac:dyDescent="0.25">
      <c r="A63" s="50" t="s">
        <v>4201</v>
      </c>
      <c r="B63">
        <v>19</v>
      </c>
      <c r="C63" s="50">
        <f t="shared" si="0"/>
        <v>55</v>
      </c>
      <c r="D63" s="341" t="s">
        <v>3890</v>
      </c>
      <c r="E63" s="50" t="s">
        <v>4093</v>
      </c>
      <c r="F63" s="341" t="s">
        <v>836</v>
      </c>
      <c r="G63" s="341" t="s">
        <v>4114</v>
      </c>
      <c r="H63" s="341" t="s">
        <v>4026</v>
      </c>
      <c r="I63" s="341" t="s">
        <v>3890</v>
      </c>
      <c r="J63" s="341" t="s">
        <v>4082</v>
      </c>
      <c r="K63" s="341" t="s">
        <v>3997</v>
      </c>
      <c r="L63" s="341" t="s">
        <v>836</v>
      </c>
      <c r="M63" s="341" t="s">
        <v>836</v>
      </c>
      <c r="N63" s="341" t="s">
        <v>3952</v>
      </c>
      <c r="O63" t="s">
        <v>4227</v>
      </c>
      <c r="P63">
        <v>0</v>
      </c>
      <c r="Q63">
        <v>2</v>
      </c>
      <c r="R63" s="34">
        <f t="shared" si="1"/>
        <v>0</v>
      </c>
    </row>
    <row r="64" spans="1:18" ht="30" x14ac:dyDescent="0.25">
      <c r="A64" s="50" t="s">
        <v>4202</v>
      </c>
      <c r="B64" t="s">
        <v>4231</v>
      </c>
      <c r="C64" s="50">
        <f t="shared" si="0"/>
        <v>56</v>
      </c>
      <c r="D64" s="341" t="s">
        <v>3890</v>
      </c>
      <c r="E64" s="50" t="s">
        <v>4093</v>
      </c>
      <c r="F64" s="341" t="s">
        <v>836</v>
      </c>
      <c r="G64" s="341" t="s">
        <v>4115</v>
      </c>
      <c r="H64" s="341" t="s">
        <v>836</v>
      </c>
      <c r="I64" s="341" t="s">
        <v>3890</v>
      </c>
      <c r="J64" s="341" t="s">
        <v>4116</v>
      </c>
      <c r="K64" s="341" t="s">
        <v>3926</v>
      </c>
      <c r="L64" s="341" t="s">
        <v>3890</v>
      </c>
      <c r="M64" s="341" t="s">
        <v>836</v>
      </c>
      <c r="N64" s="341" t="s">
        <v>4117</v>
      </c>
      <c r="O64" t="s">
        <v>4230</v>
      </c>
      <c r="P64">
        <v>0</v>
      </c>
      <c r="Q64">
        <v>17</v>
      </c>
      <c r="R64" s="34">
        <f t="shared" si="1"/>
        <v>0</v>
      </c>
    </row>
    <row r="65" spans="1:18" x14ac:dyDescent="0.25">
      <c r="A65" s="50" t="s">
        <v>4206</v>
      </c>
      <c r="B65">
        <v>29</v>
      </c>
      <c r="C65" s="50">
        <f t="shared" si="0"/>
        <v>57</v>
      </c>
      <c r="D65" s="341" t="s">
        <v>2533</v>
      </c>
      <c r="E65" s="50" t="s">
        <v>4093</v>
      </c>
      <c r="F65" s="341" t="s">
        <v>836</v>
      </c>
      <c r="G65" s="341" t="s">
        <v>4118</v>
      </c>
      <c r="H65" s="341" t="s">
        <v>3924</v>
      </c>
      <c r="I65" s="341" t="s">
        <v>4119</v>
      </c>
      <c r="J65" s="341" t="s">
        <v>3940</v>
      </c>
      <c r="K65" s="341" t="s">
        <v>3941</v>
      </c>
      <c r="L65" s="341" t="s">
        <v>836</v>
      </c>
      <c r="M65" s="341" t="s">
        <v>836</v>
      </c>
      <c r="N65" s="341" t="s">
        <v>3955</v>
      </c>
      <c r="O65" t="s">
        <v>4227</v>
      </c>
      <c r="P65">
        <v>0</v>
      </c>
      <c r="Q65">
        <v>1</v>
      </c>
      <c r="R65" s="34">
        <f t="shared" si="1"/>
        <v>0</v>
      </c>
    </row>
    <row r="66" spans="1:18" ht="45" x14ac:dyDescent="0.25">
      <c r="A66" s="50" t="s">
        <v>4196</v>
      </c>
      <c r="B66" t="s">
        <v>4223</v>
      </c>
      <c r="C66" s="50">
        <f t="shared" si="0"/>
        <v>58</v>
      </c>
      <c r="D66" s="341" t="s">
        <v>836</v>
      </c>
      <c r="E66" s="341" t="s">
        <v>4120</v>
      </c>
      <c r="F66" s="341" t="s">
        <v>836</v>
      </c>
      <c r="G66" s="341" t="s">
        <v>4121</v>
      </c>
      <c r="H66" s="341" t="s">
        <v>4122</v>
      </c>
      <c r="I66" s="341" t="s">
        <v>836</v>
      </c>
      <c r="J66" s="341" t="s">
        <v>4123</v>
      </c>
      <c r="K66" s="341" t="s">
        <v>3892</v>
      </c>
      <c r="L66" s="341" t="s">
        <v>4124</v>
      </c>
      <c r="M66" s="341" t="s">
        <v>836</v>
      </c>
      <c r="N66" s="341" t="s">
        <v>4125</v>
      </c>
      <c r="O66" t="s">
        <v>4224</v>
      </c>
      <c r="P66">
        <v>4</v>
      </c>
      <c r="Q66">
        <v>11</v>
      </c>
      <c r="R66" s="34">
        <f t="shared" si="1"/>
        <v>0.36363636363636365</v>
      </c>
    </row>
    <row r="67" spans="1:18" ht="30" x14ac:dyDescent="0.25">
      <c r="A67" s="50" t="s">
        <v>4209</v>
      </c>
      <c r="B67">
        <v>12</v>
      </c>
      <c r="C67" s="50">
        <f t="shared" si="0"/>
        <v>59</v>
      </c>
      <c r="D67" s="341" t="s">
        <v>836</v>
      </c>
      <c r="E67" s="341" t="s">
        <v>4120</v>
      </c>
      <c r="F67" s="341" t="s">
        <v>836</v>
      </c>
      <c r="G67" s="341" t="s">
        <v>1963</v>
      </c>
      <c r="H67" s="341" t="s">
        <v>3890</v>
      </c>
      <c r="I67" s="341" t="s">
        <v>836</v>
      </c>
      <c r="J67" s="341" t="s">
        <v>4126</v>
      </c>
      <c r="K67" s="341" t="s">
        <v>3966</v>
      </c>
      <c r="L67" s="341" t="s">
        <v>4127</v>
      </c>
      <c r="M67" s="341" t="s">
        <v>3988</v>
      </c>
      <c r="N67" s="341" t="s">
        <v>4128</v>
      </c>
      <c r="O67" t="s">
        <v>4230</v>
      </c>
      <c r="P67">
        <v>8</v>
      </c>
      <c r="Q67">
        <v>12</v>
      </c>
      <c r="R67" s="34">
        <f t="shared" ref="R67:R71" si="2">P67/Q67</f>
        <v>0.66666666666666663</v>
      </c>
    </row>
    <row r="68" spans="1:18" x14ac:dyDescent="0.25">
      <c r="A68" s="50" t="s">
        <v>4216</v>
      </c>
      <c r="B68">
        <v>20</v>
      </c>
      <c r="C68" s="50">
        <f t="shared" si="0"/>
        <v>60</v>
      </c>
      <c r="D68" s="341" t="s">
        <v>836</v>
      </c>
      <c r="E68" s="341" t="s">
        <v>4120</v>
      </c>
      <c r="F68" s="341" t="s">
        <v>836</v>
      </c>
      <c r="G68" s="341" t="s">
        <v>4129</v>
      </c>
      <c r="H68" s="341" t="s">
        <v>3890</v>
      </c>
      <c r="I68" s="341" t="s">
        <v>836</v>
      </c>
      <c r="J68" s="341" t="s">
        <v>3999</v>
      </c>
      <c r="K68" s="341" t="s">
        <v>4074</v>
      </c>
      <c r="L68" s="341" t="s">
        <v>836</v>
      </c>
      <c r="M68" s="341" t="s">
        <v>836</v>
      </c>
      <c r="N68" s="341" t="s">
        <v>3938</v>
      </c>
      <c r="O68" t="s">
        <v>4230</v>
      </c>
      <c r="P68">
        <v>0</v>
      </c>
      <c r="Q68">
        <v>6</v>
      </c>
      <c r="R68" s="34">
        <f t="shared" si="2"/>
        <v>0</v>
      </c>
    </row>
    <row r="69" spans="1:18" ht="45" x14ac:dyDescent="0.25">
      <c r="A69" s="50" t="s">
        <v>4201</v>
      </c>
      <c r="B69" t="s">
        <v>4238</v>
      </c>
      <c r="C69" s="50">
        <f t="shared" ref="C69:C71" si="3">C68+1</f>
        <v>61</v>
      </c>
      <c r="D69" s="341" t="s">
        <v>836</v>
      </c>
      <c r="E69" s="341" t="s">
        <v>4120</v>
      </c>
      <c r="F69" s="341" t="s">
        <v>836</v>
      </c>
      <c r="G69" s="341" t="s">
        <v>4130</v>
      </c>
      <c r="H69" s="341" t="s">
        <v>3890</v>
      </c>
      <c r="I69" s="341" t="s">
        <v>836</v>
      </c>
      <c r="J69" s="341" t="s">
        <v>3985</v>
      </c>
      <c r="K69" s="341" t="s">
        <v>3986</v>
      </c>
      <c r="L69" s="341" t="s">
        <v>4131</v>
      </c>
      <c r="M69" s="341" t="s">
        <v>3932</v>
      </c>
      <c r="N69" s="341" t="s">
        <v>4132</v>
      </c>
      <c r="O69" t="s">
        <v>4230</v>
      </c>
      <c r="P69">
        <v>2</v>
      </c>
      <c r="Q69">
        <v>3</v>
      </c>
      <c r="R69" s="34">
        <f t="shared" si="2"/>
        <v>0.66666666666666663</v>
      </c>
    </row>
    <row r="70" spans="1:18" ht="30" x14ac:dyDescent="0.25">
      <c r="A70" s="50" t="s">
        <v>4200</v>
      </c>
      <c r="B70">
        <v>10</v>
      </c>
      <c r="C70" s="50">
        <f t="shared" si="3"/>
        <v>62</v>
      </c>
      <c r="D70" s="341" t="s">
        <v>836</v>
      </c>
      <c r="E70" s="341" t="s">
        <v>4120</v>
      </c>
      <c r="F70" s="341" t="s">
        <v>836</v>
      </c>
      <c r="G70" s="341" t="s">
        <v>4129</v>
      </c>
      <c r="H70" s="341" t="s">
        <v>3890</v>
      </c>
      <c r="I70" s="341" t="s">
        <v>836</v>
      </c>
      <c r="J70" s="341" t="s">
        <v>4133</v>
      </c>
      <c r="K70" s="341" t="s">
        <v>3911</v>
      </c>
      <c r="L70" s="341" t="s">
        <v>836</v>
      </c>
      <c r="M70" s="341" t="s">
        <v>836</v>
      </c>
      <c r="N70" s="341" t="s">
        <v>3899</v>
      </c>
      <c r="O70" t="s">
        <v>4230</v>
      </c>
      <c r="P70">
        <v>0</v>
      </c>
      <c r="Q70">
        <v>9</v>
      </c>
      <c r="R70" s="34">
        <f t="shared" si="2"/>
        <v>0</v>
      </c>
    </row>
    <row r="71" spans="1:18" ht="30" x14ac:dyDescent="0.25">
      <c r="A71" s="50" t="s">
        <v>4205</v>
      </c>
      <c r="B71">
        <v>28</v>
      </c>
      <c r="C71" s="50">
        <f t="shared" si="3"/>
        <v>63</v>
      </c>
      <c r="D71" s="341" t="s">
        <v>4134</v>
      </c>
      <c r="E71" s="341" t="s">
        <v>4120</v>
      </c>
      <c r="F71" s="341" t="s">
        <v>836</v>
      </c>
      <c r="G71" s="341" t="s">
        <v>836</v>
      </c>
      <c r="H71" s="341" t="s">
        <v>4026</v>
      </c>
      <c r="I71" s="341" t="s">
        <v>836</v>
      </c>
      <c r="J71" s="341" t="s">
        <v>3936</v>
      </c>
      <c r="K71" s="341" t="s">
        <v>3937</v>
      </c>
      <c r="L71" s="341" t="s">
        <v>836</v>
      </c>
      <c r="M71" s="341" t="s">
        <v>836</v>
      </c>
      <c r="N71" s="341" t="s">
        <v>3955</v>
      </c>
      <c r="O71" t="s">
        <v>4227</v>
      </c>
      <c r="P71">
        <v>0</v>
      </c>
      <c r="Q71">
        <v>1</v>
      </c>
      <c r="R71" s="34">
        <f t="shared" si="2"/>
        <v>0</v>
      </c>
    </row>
    <row r="74" spans="1:18" ht="15.75" x14ac:dyDescent="0.25">
      <c r="A74" s="26" t="s">
        <v>4151</v>
      </c>
      <c r="B74" s="26"/>
      <c r="C74" s="26"/>
    </row>
    <row r="75" spans="1:18" ht="15.75" x14ac:dyDescent="0.25">
      <c r="A75" s="26" t="s">
        <v>4152</v>
      </c>
      <c r="B75" s="26"/>
      <c r="C75" s="26"/>
    </row>
    <row r="76" spans="1:18" ht="15.75" x14ac:dyDescent="0.25">
      <c r="A76" s="26" t="s">
        <v>4153</v>
      </c>
      <c r="B76" s="26"/>
      <c r="C76" s="26"/>
    </row>
    <row r="77" spans="1:18" ht="15.75" x14ac:dyDescent="0.25">
      <c r="A77" s="26" t="s">
        <v>4154</v>
      </c>
      <c r="B77" s="26"/>
      <c r="C77" s="26"/>
    </row>
    <row r="78" spans="1:18" ht="15.75" x14ac:dyDescent="0.25">
      <c r="A78" s="26" t="s">
        <v>4155</v>
      </c>
      <c r="B78" s="26"/>
      <c r="C78" s="26"/>
    </row>
    <row r="79" spans="1:18" ht="15.75" x14ac:dyDescent="0.25">
      <c r="A79" s="26" t="s">
        <v>4156</v>
      </c>
      <c r="B79" s="26"/>
      <c r="C79" s="26"/>
    </row>
    <row r="80" spans="1:18" ht="15.75" x14ac:dyDescent="0.25">
      <c r="A80" s="26" t="s">
        <v>4157</v>
      </c>
      <c r="B80" s="26"/>
      <c r="C80" s="26"/>
    </row>
    <row r="81" spans="1:3" ht="15.75" x14ac:dyDescent="0.25">
      <c r="A81" s="26" t="s">
        <v>4158</v>
      </c>
      <c r="B81" s="26"/>
      <c r="C81" s="26"/>
    </row>
    <row r="82" spans="1:3" ht="15.75" x14ac:dyDescent="0.25">
      <c r="A82" s="26" t="s">
        <v>4159</v>
      </c>
      <c r="B82" s="26"/>
      <c r="C82" s="26"/>
    </row>
    <row r="83" spans="1:3" ht="15.75" x14ac:dyDescent="0.25">
      <c r="A83" s="26" t="s">
        <v>4160</v>
      </c>
      <c r="B83" s="26"/>
      <c r="C83" s="26"/>
    </row>
    <row r="84" spans="1:3" ht="15.75" x14ac:dyDescent="0.25">
      <c r="A84" s="26" t="s">
        <v>4161</v>
      </c>
      <c r="B84" s="26"/>
      <c r="C84" s="26"/>
    </row>
    <row r="85" spans="1:3" ht="15.75" x14ac:dyDescent="0.25">
      <c r="A85" s="26" t="s">
        <v>4162</v>
      </c>
      <c r="B85" s="26"/>
      <c r="C85" s="26"/>
    </row>
    <row r="86" spans="1:3" ht="15.75" x14ac:dyDescent="0.25">
      <c r="A86" s="26" t="s">
        <v>4163</v>
      </c>
      <c r="B86" s="26"/>
      <c r="C86" s="26"/>
    </row>
    <row r="87" spans="1:3" ht="15.75" x14ac:dyDescent="0.25">
      <c r="A87" s="26" t="s">
        <v>4164</v>
      </c>
      <c r="B87" s="26"/>
      <c r="C87" s="26"/>
    </row>
    <row r="88" spans="1:3" ht="15.75" x14ac:dyDescent="0.25">
      <c r="A88" s="26" t="s">
        <v>4165</v>
      </c>
      <c r="B88" s="26"/>
      <c r="C88" s="26"/>
    </row>
    <row r="89" spans="1:3" ht="15.75" x14ac:dyDescent="0.25">
      <c r="A89" s="26" t="s">
        <v>4166</v>
      </c>
      <c r="B89" s="26"/>
      <c r="C89" s="26"/>
    </row>
    <row r="90" spans="1:3" ht="15.75" x14ac:dyDescent="0.25">
      <c r="A90" s="26" t="s">
        <v>4167</v>
      </c>
      <c r="B90" s="26"/>
      <c r="C90" s="26"/>
    </row>
    <row r="91" spans="1:3" ht="15.75" x14ac:dyDescent="0.25">
      <c r="A91" s="26" t="s">
        <v>4168</v>
      </c>
      <c r="B91" s="26"/>
      <c r="C91" s="26"/>
    </row>
    <row r="92" spans="1:3" ht="15.75" x14ac:dyDescent="0.25">
      <c r="A92" s="26" t="s">
        <v>4169</v>
      </c>
      <c r="B92" s="26"/>
      <c r="C92" s="26"/>
    </row>
    <row r="93" spans="1:3" ht="15.75" x14ac:dyDescent="0.25">
      <c r="A93" s="26" t="s">
        <v>4170</v>
      </c>
      <c r="B93" s="26"/>
      <c r="C93" s="26"/>
    </row>
    <row r="94" spans="1:3" ht="15.75" x14ac:dyDescent="0.25">
      <c r="A94" s="26" t="s">
        <v>4171</v>
      </c>
      <c r="B94" s="26"/>
      <c r="C94" s="26"/>
    </row>
    <row r="95" spans="1:3" ht="15.75" x14ac:dyDescent="0.25">
      <c r="A95" s="26" t="s">
        <v>4172</v>
      </c>
      <c r="B95" s="26"/>
      <c r="C95" s="26"/>
    </row>
    <row r="96" spans="1:3" ht="15.75" x14ac:dyDescent="0.25">
      <c r="A96" s="26" t="s">
        <v>4173</v>
      </c>
      <c r="B96" s="26"/>
      <c r="C96" s="26"/>
    </row>
    <row r="97" spans="1:3" ht="15.75" x14ac:dyDescent="0.25">
      <c r="A97" s="26" t="s">
        <v>4174</v>
      </c>
      <c r="B97" s="26"/>
      <c r="C97" s="26"/>
    </row>
    <row r="98" spans="1:3" ht="15.75" x14ac:dyDescent="0.25">
      <c r="A98" s="26" t="s">
        <v>4175</v>
      </c>
      <c r="B98" s="26"/>
      <c r="C98" s="26"/>
    </row>
    <row r="99" spans="1:3" ht="15.75" x14ac:dyDescent="0.25">
      <c r="A99" s="26" t="s">
        <v>4176</v>
      </c>
      <c r="B99" s="26"/>
      <c r="C99" s="26"/>
    </row>
    <row r="100" spans="1:3" ht="15.75" x14ac:dyDescent="0.25">
      <c r="A100" s="26" t="s">
        <v>4177</v>
      </c>
      <c r="B100" s="26"/>
      <c r="C100" s="26"/>
    </row>
    <row r="101" spans="1:3" ht="15.75" x14ac:dyDescent="0.25">
      <c r="A101" s="26" t="s">
        <v>4178</v>
      </c>
      <c r="B101" s="26"/>
      <c r="C101" s="26"/>
    </row>
    <row r="102" spans="1:3" ht="15.75" x14ac:dyDescent="0.25">
      <c r="A102" s="26" t="s">
        <v>4179</v>
      </c>
      <c r="B102" s="26"/>
      <c r="C102" s="26"/>
    </row>
    <row r="103" spans="1:3" ht="15.75" x14ac:dyDescent="0.25">
      <c r="A103" s="26" t="s">
        <v>4180</v>
      </c>
      <c r="B103" s="26"/>
      <c r="C103" s="26"/>
    </row>
    <row r="104" spans="1:3" ht="15.75" x14ac:dyDescent="0.25">
      <c r="A104" s="26" t="s">
        <v>4181</v>
      </c>
      <c r="B104" s="26"/>
      <c r="C104" s="26"/>
    </row>
    <row r="105" spans="1:3" ht="15.75" x14ac:dyDescent="0.25">
      <c r="A105" s="26" t="s">
        <v>4182</v>
      </c>
      <c r="B105" s="26"/>
      <c r="C105" s="26"/>
    </row>
    <row r="106" spans="1:3" ht="15.75" x14ac:dyDescent="0.25">
      <c r="A106" s="26" t="s">
        <v>4183</v>
      </c>
      <c r="B106" s="26"/>
      <c r="C106" s="26"/>
    </row>
    <row r="107" spans="1:3" ht="15.75" x14ac:dyDescent="0.25">
      <c r="A107" s="26" t="s">
        <v>4184</v>
      </c>
      <c r="B107" s="26"/>
      <c r="C107" s="26"/>
    </row>
    <row r="108" spans="1:3" ht="15.75" x14ac:dyDescent="0.25">
      <c r="A108" s="26" t="s">
        <v>4185</v>
      </c>
      <c r="B108" s="26"/>
      <c r="C108" s="26"/>
    </row>
    <row r="109" spans="1:3" ht="15.75" x14ac:dyDescent="0.25">
      <c r="A109" s="26" t="s">
        <v>4186</v>
      </c>
      <c r="B109" s="26"/>
      <c r="C109" s="26"/>
    </row>
    <row r="110" spans="1:3" ht="15.75" x14ac:dyDescent="0.25">
      <c r="A110" s="26" t="s">
        <v>4187</v>
      </c>
      <c r="B110" s="26"/>
      <c r="C110" s="26"/>
    </row>
    <row r="111" spans="1:3" ht="15.75" x14ac:dyDescent="0.25">
      <c r="A111" s="26" t="s">
        <v>4188</v>
      </c>
      <c r="B111" s="26"/>
      <c r="C111" s="26"/>
    </row>
    <row r="112" spans="1:3" ht="15.75" x14ac:dyDescent="0.25">
      <c r="A112" s="26" t="s">
        <v>4189</v>
      </c>
      <c r="B112" s="26"/>
      <c r="C112" s="26"/>
    </row>
    <row r="113" spans="1:11" ht="15.75" x14ac:dyDescent="0.25">
      <c r="A113" s="26" t="s">
        <v>4190</v>
      </c>
      <c r="B113" s="26"/>
      <c r="C113" s="26"/>
    </row>
    <row r="114" spans="1:11" ht="15.75" x14ac:dyDescent="0.25">
      <c r="A114" s="26" t="s">
        <v>4191</v>
      </c>
      <c r="B114" s="26"/>
      <c r="C114" s="26"/>
    </row>
    <row r="115" spans="1:11" ht="15.75" x14ac:dyDescent="0.25">
      <c r="A115" s="26" t="s">
        <v>4192</v>
      </c>
      <c r="B115" s="26"/>
      <c r="C115" s="26"/>
    </row>
    <row r="116" spans="1:11" ht="15.75" x14ac:dyDescent="0.25">
      <c r="A116" s="26" t="s">
        <v>4193</v>
      </c>
      <c r="B116" s="26"/>
      <c r="C116" s="26"/>
    </row>
    <row r="117" spans="1:11" ht="15.75" x14ac:dyDescent="0.25">
      <c r="A117" s="26" t="s">
        <v>4194</v>
      </c>
      <c r="B117" s="26"/>
      <c r="C117" s="26"/>
    </row>
    <row r="118" spans="1:11" ht="15.75" x14ac:dyDescent="0.25">
      <c r="A118" s="11" t="s">
        <v>4195</v>
      </c>
      <c r="B118" s="11"/>
      <c r="C118" s="11"/>
    </row>
    <row r="120" spans="1:11" x14ac:dyDescent="0.25">
      <c r="A120" t="s">
        <v>2236</v>
      </c>
      <c r="B120" t="s">
        <v>4218</v>
      </c>
      <c r="C120" t="s">
        <v>3878</v>
      </c>
      <c r="D120" t="s">
        <v>4217</v>
      </c>
      <c r="E120" t="s">
        <v>4219</v>
      </c>
      <c r="F120" t="s">
        <v>1379</v>
      </c>
      <c r="G120" t="s">
        <v>4220</v>
      </c>
      <c r="H120" t="s">
        <v>4221</v>
      </c>
      <c r="I120" t="s">
        <v>4222</v>
      </c>
      <c r="J120" t="s">
        <v>1942</v>
      </c>
      <c r="K120" t="s">
        <v>4222</v>
      </c>
    </row>
    <row r="121" spans="1:11" x14ac:dyDescent="0.25">
      <c r="D121"/>
      <c r="E121"/>
      <c r="F121"/>
      <c r="G121"/>
      <c r="H121"/>
      <c r="I121"/>
      <c r="J121"/>
      <c r="K121" t="s">
        <v>1490</v>
      </c>
    </row>
    <row r="122" spans="1:11" x14ac:dyDescent="0.25">
      <c r="A122" t="s">
        <v>4223</v>
      </c>
      <c r="B122">
        <v>1</v>
      </c>
      <c r="C122" t="s">
        <v>2533</v>
      </c>
      <c r="D122" t="s">
        <v>3869</v>
      </c>
      <c r="E122" t="s">
        <v>3887</v>
      </c>
      <c r="F122" t="s">
        <v>3888</v>
      </c>
      <c r="G122" t="s">
        <v>3889</v>
      </c>
      <c r="H122" t="s">
        <v>4224</v>
      </c>
      <c r="I122">
        <v>2</v>
      </c>
      <c r="J122">
        <v>3</v>
      </c>
      <c r="K122" s="34">
        <v>0.67</v>
      </c>
    </row>
    <row r="123" spans="1:11" x14ac:dyDescent="0.25">
      <c r="A123" t="s">
        <v>4225</v>
      </c>
      <c r="B123">
        <v>2</v>
      </c>
      <c r="C123" t="s">
        <v>2533</v>
      </c>
      <c r="D123" t="s">
        <v>3869</v>
      </c>
      <c r="E123" t="s">
        <v>3887</v>
      </c>
      <c r="F123" t="s">
        <v>3895</v>
      </c>
      <c r="G123" t="s">
        <v>4226</v>
      </c>
      <c r="H123" t="s">
        <v>4227</v>
      </c>
      <c r="I123">
        <v>0</v>
      </c>
      <c r="J123">
        <v>9</v>
      </c>
      <c r="K123" s="34">
        <v>0</v>
      </c>
    </row>
    <row r="124" spans="1:11" x14ac:dyDescent="0.25">
      <c r="A124" t="s">
        <v>4228</v>
      </c>
      <c r="B124">
        <v>3</v>
      </c>
      <c r="C124" t="s">
        <v>2533</v>
      </c>
      <c r="D124" t="s">
        <v>3869</v>
      </c>
      <c r="E124" t="s">
        <v>3887</v>
      </c>
      <c r="F124" t="s">
        <v>4229</v>
      </c>
      <c r="G124" t="s">
        <v>3901</v>
      </c>
      <c r="H124" t="s">
        <v>4251</v>
      </c>
      <c r="I124">
        <v>13</v>
      </c>
      <c r="J124">
        <v>32</v>
      </c>
      <c r="K124" s="34">
        <v>0.41</v>
      </c>
    </row>
    <row r="125" spans="1:11" x14ac:dyDescent="0.25">
      <c r="A125">
        <v>22</v>
      </c>
      <c r="B125">
        <v>4</v>
      </c>
      <c r="C125" t="s">
        <v>2533</v>
      </c>
      <c r="D125" t="s">
        <v>3869</v>
      </c>
      <c r="E125" t="s">
        <v>2118</v>
      </c>
      <c r="F125" t="s">
        <v>3895</v>
      </c>
      <c r="G125" t="s">
        <v>3890</v>
      </c>
      <c r="H125" t="s">
        <v>4230</v>
      </c>
      <c r="I125">
        <v>0</v>
      </c>
      <c r="J125">
        <v>1</v>
      </c>
      <c r="K125" s="34">
        <v>0</v>
      </c>
    </row>
    <row r="126" spans="1:11" x14ac:dyDescent="0.25">
      <c r="A126">
        <v>10</v>
      </c>
      <c r="B126">
        <v>5</v>
      </c>
      <c r="C126" t="s">
        <v>2533</v>
      </c>
      <c r="D126" t="s">
        <v>3869</v>
      </c>
      <c r="E126" t="s">
        <v>3887</v>
      </c>
      <c r="F126" t="s">
        <v>3909</v>
      </c>
      <c r="G126" t="s">
        <v>3901</v>
      </c>
      <c r="H126" t="s">
        <v>4227</v>
      </c>
      <c r="I126">
        <v>0</v>
      </c>
      <c r="J126">
        <v>9</v>
      </c>
      <c r="K126" s="34">
        <v>0</v>
      </c>
    </row>
    <row r="127" spans="1:11" x14ac:dyDescent="0.25">
      <c r="A127">
        <v>19</v>
      </c>
      <c r="B127">
        <v>6</v>
      </c>
      <c r="C127" t="s">
        <v>2533</v>
      </c>
      <c r="D127" t="s">
        <v>3869</v>
      </c>
      <c r="E127" t="s">
        <v>3890</v>
      </c>
      <c r="F127" t="s">
        <v>3890</v>
      </c>
      <c r="G127" t="s">
        <v>3945</v>
      </c>
      <c r="H127" t="s">
        <v>4227</v>
      </c>
      <c r="I127">
        <v>0</v>
      </c>
      <c r="J127">
        <v>5</v>
      </c>
      <c r="K127" s="34">
        <v>0</v>
      </c>
    </row>
    <row r="128" spans="1:11" x14ac:dyDescent="0.25">
      <c r="A128" t="s">
        <v>4231</v>
      </c>
      <c r="B128">
        <v>7</v>
      </c>
      <c r="C128" t="s">
        <v>2533</v>
      </c>
      <c r="D128" t="s">
        <v>3869</v>
      </c>
      <c r="E128" t="s">
        <v>3917</v>
      </c>
      <c r="F128" t="s">
        <v>3895</v>
      </c>
      <c r="G128" t="s">
        <v>3889</v>
      </c>
      <c r="H128" t="s">
        <v>4224</v>
      </c>
      <c r="I128">
        <v>12</v>
      </c>
      <c r="J128">
        <v>12</v>
      </c>
      <c r="K128" s="34">
        <v>1</v>
      </c>
    </row>
    <row r="129" spans="1:11" x14ac:dyDescent="0.25">
      <c r="A129">
        <v>18</v>
      </c>
      <c r="B129">
        <v>8</v>
      </c>
      <c r="C129" t="s">
        <v>2533</v>
      </c>
      <c r="D129" t="s">
        <v>3869</v>
      </c>
      <c r="E129" t="s">
        <v>4232</v>
      </c>
      <c r="F129" t="s">
        <v>3923</v>
      </c>
      <c r="G129" t="s">
        <v>3889</v>
      </c>
      <c r="H129" t="s">
        <v>4227</v>
      </c>
      <c r="I129">
        <v>0</v>
      </c>
      <c r="J129">
        <v>26</v>
      </c>
      <c r="K129" s="34">
        <v>0</v>
      </c>
    </row>
    <row r="130" spans="1:11" x14ac:dyDescent="0.25">
      <c r="A130">
        <v>27</v>
      </c>
      <c r="B130">
        <v>9</v>
      </c>
      <c r="C130" t="s">
        <v>2533</v>
      </c>
      <c r="D130" t="s">
        <v>3869</v>
      </c>
      <c r="E130" t="s">
        <v>3928</v>
      </c>
      <c r="F130" t="s">
        <v>3923</v>
      </c>
      <c r="G130" t="s">
        <v>4146</v>
      </c>
      <c r="H130" t="s">
        <v>4227</v>
      </c>
      <c r="I130">
        <v>0</v>
      </c>
      <c r="J130">
        <v>3</v>
      </c>
      <c r="K130" s="34">
        <v>0</v>
      </c>
    </row>
    <row r="131" spans="1:11" x14ac:dyDescent="0.25">
      <c r="A131">
        <v>28</v>
      </c>
      <c r="B131">
        <v>10</v>
      </c>
      <c r="C131" t="s">
        <v>2533</v>
      </c>
      <c r="D131" t="s">
        <v>3869</v>
      </c>
      <c r="E131" t="s">
        <v>3933</v>
      </c>
      <c r="F131" t="s">
        <v>3934</v>
      </c>
      <c r="G131" t="s">
        <v>4026</v>
      </c>
      <c r="H131" t="s">
        <v>4227</v>
      </c>
      <c r="I131">
        <v>0</v>
      </c>
      <c r="J131">
        <v>6</v>
      </c>
      <c r="K131" s="34">
        <v>0</v>
      </c>
    </row>
    <row r="132" spans="1:11" x14ac:dyDescent="0.25">
      <c r="A132">
        <v>29</v>
      </c>
      <c r="B132">
        <v>11</v>
      </c>
      <c r="C132" t="s">
        <v>2533</v>
      </c>
      <c r="D132" t="s">
        <v>3869</v>
      </c>
      <c r="E132" t="s">
        <v>3939</v>
      </c>
      <c r="F132" t="s">
        <v>3888</v>
      </c>
      <c r="G132" t="s">
        <v>3889</v>
      </c>
      <c r="H132" t="s">
        <v>4224</v>
      </c>
      <c r="I132">
        <v>1</v>
      </c>
      <c r="J132">
        <v>1</v>
      </c>
      <c r="K132" s="34">
        <v>1</v>
      </c>
    </row>
    <row r="133" spans="1:11" x14ac:dyDescent="0.25">
      <c r="A133" t="s">
        <v>4233</v>
      </c>
      <c r="B133">
        <v>12</v>
      </c>
      <c r="C133" t="s">
        <v>2533</v>
      </c>
      <c r="D133" t="s">
        <v>3869</v>
      </c>
      <c r="E133" t="s">
        <v>3943</v>
      </c>
      <c r="F133" t="s">
        <v>4234</v>
      </c>
      <c r="G133" t="s">
        <v>3945</v>
      </c>
      <c r="H133" t="s">
        <v>4252</v>
      </c>
      <c r="I133">
        <v>1</v>
      </c>
      <c r="J133">
        <v>10</v>
      </c>
      <c r="K133" s="34">
        <v>0.1</v>
      </c>
    </row>
    <row r="134" spans="1:11" x14ac:dyDescent="0.25">
      <c r="A134" t="s">
        <v>4223</v>
      </c>
      <c r="B134">
        <v>13</v>
      </c>
      <c r="C134" t="s">
        <v>3956</v>
      </c>
      <c r="D134" t="s">
        <v>3870</v>
      </c>
      <c r="E134" t="s">
        <v>3887</v>
      </c>
      <c r="F134" t="s">
        <v>3949</v>
      </c>
      <c r="G134" t="s">
        <v>3889</v>
      </c>
      <c r="H134" t="s">
        <v>4227</v>
      </c>
      <c r="I134">
        <v>0</v>
      </c>
      <c r="J134">
        <v>2</v>
      </c>
      <c r="K134" s="34">
        <v>0</v>
      </c>
    </row>
    <row r="135" spans="1:11" x14ac:dyDescent="0.25">
      <c r="A135" t="s">
        <v>4225</v>
      </c>
      <c r="B135">
        <v>14</v>
      </c>
      <c r="C135" t="s">
        <v>3956</v>
      </c>
      <c r="D135" t="s">
        <v>3870</v>
      </c>
      <c r="E135" t="s">
        <v>3887</v>
      </c>
      <c r="F135" t="s">
        <v>3953</v>
      </c>
      <c r="G135" t="s">
        <v>4226</v>
      </c>
      <c r="H135" t="s">
        <v>4227</v>
      </c>
      <c r="I135">
        <v>0</v>
      </c>
      <c r="J135">
        <v>1</v>
      </c>
      <c r="K135" s="34">
        <v>0</v>
      </c>
    </row>
    <row r="136" spans="1:11" x14ac:dyDescent="0.25">
      <c r="A136">
        <v>3</v>
      </c>
      <c r="B136">
        <v>15</v>
      </c>
      <c r="C136" t="s">
        <v>3956</v>
      </c>
      <c r="D136" t="s">
        <v>3870</v>
      </c>
      <c r="E136" t="s">
        <v>4235</v>
      </c>
      <c r="F136" t="s">
        <v>3923</v>
      </c>
      <c r="G136" t="s">
        <v>3958</v>
      </c>
      <c r="H136" t="s">
        <v>4227</v>
      </c>
      <c r="I136">
        <v>0</v>
      </c>
      <c r="J136">
        <v>18</v>
      </c>
      <c r="K136" s="34">
        <v>0</v>
      </c>
    </row>
    <row r="137" spans="1:11" x14ac:dyDescent="0.25">
      <c r="A137">
        <v>12</v>
      </c>
      <c r="B137">
        <v>16</v>
      </c>
      <c r="C137" t="s">
        <v>3963</v>
      </c>
      <c r="D137" t="s">
        <v>3870</v>
      </c>
      <c r="E137" t="s">
        <v>4232</v>
      </c>
      <c r="F137" t="s">
        <v>3923</v>
      </c>
      <c r="G137" t="s">
        <v>3889</v>
      </c>
      <c r="H137" t="s">
        <v>4227</v>
      </c>
      <c r="I137">
        <v>0</v>
      </c>
      <c r="J137">
        <v>18</v>
      </c>
      <c r="K137" s="34">
        <v>0</v>
      </c>
    </row>
    <row r="138" spans="1:11" x14ac:dyDescent="0.25">
      <c r="A138" t="s">
        <v>4228</v>
      </c>
      <c r="B138">
        <v>17</v>
      </c>
      <c r="C138" t="s">
        <v>3956</v>
      </c>
      <c r="D138" t="s">
        <v>3870</v>
      </c>
      <c r="E138" t="s">
        <v>4232</v>
      </c>
      <c r="F138" t="s">
        <v>3968</v>
      </c>
      <c r="G138" t="s">
        <v>3969</v>
      </c>
      <c r="H138" t="s">
        <v>4252</v>
      </c>
      <c r="I138">
        <v>2</v>
      </c>
      <c r="J138">
        <v>16</v>
      </c>
      <c r="K138" s="34">
        <v>0.13</v>
      </c>
    </row>
    <row r="139" spans="1:11" x14ac:dyDescent="0.25">
      <c r="A139">
        <v>16</v>
      </c>
      <c r="B139">
        <v>18</v>
      </c>
      <c r="C139" t="s">
        <v>3956</v>
      </c>
      <c r="D139" t="s">
        <v>3870</v>
      </c>
      <c r="E139" t="s">
        <v>3973</v>
      </c>
      <c r="F139" t="s">
        <v>3923</v>
      </c>
      <c r="G139" t="s">
        <v>4236</v>
      </c>
      <c r="H139" t="s">
        <v>4224</v>
      </c>
      <c r="I139">
        <v>4</v>
      </c>
      <c r="J139">
        <v>10</v>
      </c>
      <c r="K139" s="34">
        <v>0.4</v>
      </c>
    </row>
    <row r="140" spans="1:11" x14ac:dyDescent="0.25">
      <c r="A140">
        <v>22</v>
      </c>
      <c r="B140">
        <v>19</v>
      </c>
      <c r="C140" t="s">
        <v>3963</v>
      </c>
      <c r="D140" t="s">
        <v>3870</v>
      </c>
      <c r="E140" t="s">
        <v>2118</v>
      </c>
      <c r="F140" t="s">
        <v>3890</v>
      </c>
      <c r="G140" t="s">
        <v>3890</v>
      </c>
      <c r="H140" t="s">
        <v>4230</v>
      </c>
      <c r="I140">
        <v>1</v>
      </c>
      <c r="J140">
        <v>1</v>
      </c>
      <c r="K140" s="34">
        <v>1</v>
      </c>
    </row>
    <row r="141" spans="1:11" x14ac:dyDescent="0.25">
      <c r="A141">
        <v>14</v>
      </c>
      <c r="B141">
        <v>20</v>
      </c>
      <c r="C141" t="s">
        <v>3963</v>
      </c>
      <c r="D141" t="s">
        <v>3870</v>
      </c>
      <c r="E141" t="s">
        <v>3980</v>
      </c>
      <c r="F141" t="s">
        <v>3873</v>
      </c>
      <c r="G141" t="s">
        <v>3874</v>
      </c>
      <c r="H141" t="s">
        <v>4230</v>
      </c>
      <c r="I141">
        <v>0</v>
      </c>
      <c r="J141">
        <v>6</v>
      </c>
      <c r="K141" s="34">
        <v>0</v>
      </c>
    </row>
    <row r="142" spans="1:11" x14ac:dyDescent="0.25">
      <c r="A142" t="s">
        <v>4237</v>
      </c>
      <c r="B142">
        <v>21</v>
      </c>
      <c r="C142" t="s">
        <v>3963</v>
      </c>
      <c r="D142" t="s">
        <v>3870</v>
      </c>
      <c r="E142" t="s">
        <v>3890</v>
      </c>
      <c r="F142" t="s">
        <v>3923</v>
      </c>
      <c r="G142" t="s">
        <v>3889</v>
      </c>
      <c r="H142" t="s">
        <v>4227</v>
      </c>
      <c r="I142">
        <v>0</v>
      </c>
      <c r="J142">
        <v>8</v>
      </c>
      <c r="K142" s="34">
        <v>0</v>
      </c>
    </row>
    <row r="143" spans="1:11" x14ac:dyDescent="0.25">
      <c r="A143" t="s">
        <v>4238</v>
      </c>
      <c r="B143">
        <v>22</v>
      </c>
      <c r="C143" t="s">
        <v>3984</v>
      </c>
      <c r="D143" t="s">
        <v>3870</v>
      </c>
      <c r="E143" t="s">
        <v>3890</v>
      </c>
      <c r="F143" t="s">
        <v>3890</v>
      </c>
      <c r="G143" t="s">
        <v>3890</v>
      </c>
      <c r="H143" t="s">
        <v>4230</v>
      </c>
      <c r="I143">
        <v>6</v>
      </c>
      <c r="J143">
        <v>12</v>
      </c>
      <c r="K143" s="34">
        <v>0.5</v>
      </c>
    </row>
    <row r="144" spans="1:11" x14ac:dyDescent="0.25">
      <c r="A144">
        <v>10</v>
      </c>
      <c r="B144">
        <v>23</v>
      </c>
      <c r="C144" t="s">
        <v>3963</v>
      </c>
      <c r="D144" t="s">
        <v>3870</v>
      </c>
      <c r="E144" t="s">
        <v>3887</v>
      </c>
      <c r="F144" t="s">
        <v>3909</v>
      </c>
      <c r="G144" t="s">
        <v>3990</v>
      </c>
      <c r="H144" t="s">
        <v>4227</v>
      </c>
      <c r="I144">
        <v>0</v>
      </c>
      <c r="J144">
        <v>18</v>
      </c>
      <c r="K144" s="34">
        <v>0</v>
      </c>
    </row>
    <row r="145" spans="1:11" x14ac:dyDescent="0.25">
      <c r="A145">
        <v>15</v>
      </c>
      <c r="B145">
        <v>24</v>
      </c>
      <c r="C145" t="s">
        <v>3963</v>
      </c>
      <c r="D145" t="s">
        <v>3870</v>
      </c>
      <c r="E145" t="s">
        <v>3973</v>
      </c>
      <c r="F145" t="s">
        <v>3923</v>
      </c>
      <c r="G145" t="s">
        <v>3958</v>
      </c>
      <c r="H145" t="s">
        <v>4227</v>
      </c>
      <c r="I145">
        <v>0</v>
      </c>
      <c r="J145">
        <v>6</v>
      </c>
      <c r="K145" s="34">
        <v>0</v>
      </c>
    </row>
    <row r="146" spans="1:11" x14ac:dyDescent="0.25">
      <c r="A146">
        <v>19</v>
      </c>
      <c r="B146">
        <v>25</v>
      </c>
      <c r="C146" t="s">
        <v>3956</v>
      </c>
      <c r="D146" t="s">
        <v>3870</v>
      </c>
      <c r="E146" t="s">
        <v>3890</v>
      </c>
      <c r="F146" t="s">
        <v>3923</v>
      </c>
      <c r="G146" t="s">
        <v>4026</v>
      </c>
      <c r="H146" t="s">
        <v>4227</v>
      </c>
      <c r="I146">
        <v>0</v>
      </c>
      <c r="J146">
        <v>16</v>
      </c>
      <c r="K146" s="34">
        <v>0</v>
      </c>
    </row>
    <row r="147" spans="1:11" x14ac:dyDescent="0.25">
      <c r="A147">
        <v>13</v>
      </c>
      <c r="B147">
        <v>26</v>
      </c>
      <c r="C147" t="s">
        <v>3890</v>
      </c>
      <c r="D147" t="s">
        <v>3870</v>
      </c>
      <c r="E147" t="s">
        <v>3890</v>
      </c>
      <c r="F147" t="s">
        <v>3923</v>
      </c>
      <c r="G147" t="s">
        <v>3890</v>
      </c>
      <c r="H147" t="s">
        <v>4230</v>
      </c>
      <c r="I147">
        <v>18</v>
      </c>
      <c r="J147">
        <v>18</v>
      </c>
      <c r="K147" s="34">
        <v>1</v>
      </c>
    </row>
    <row r="148" spans="1:11" x14ac:dyDescent="0.25">
      <c r="A148" t="s">
        <v>4239</v>
      </c>
      <c r="B148">
        <v>27</v>
      </c>
      <c r="C148" t="s">
        <v>3984</v>
      </c>
      <c r="D148" t="s">
        <v>3870</v>
      </c>
      <c r="E148" t="s">
        <v>4005</v>
      </c>
      <c r="F148" t="s">
        <v>4006</v>
      </c>
      <c r="G148" t="s">
        <v>4007</v>
      </c>
      <c r="H148" t="s">
        <v>4227</v>
      </c>
      <c r="I148">
        <v>0</v>
      </c>
      <c r="J148">
        <v>32</v>
      </c>
      <c r="K148" s="34">
        <v>0</v>
      </c>
    </row>
    <row r="149" spans="1:11" x14ac:dyDescent="0.25">
      <c r="A149" t="s">
        <v>4233</v>
      </c>
      <c r="B149">
        <v>28</v>
      </c>
      <c r="C149" t="s">
        <v>3963</v>
      </c>
      <c r="D149" t="s">
        <v>3870</v>
      </c>
      <c r="E149" t="s">
        <v>4240</v>
      </c>
      <c r="F149" t="s">
        <v>4241</v>
      </c>
      <c r="G149" t="s">
        <v>3945</v>
      </c>
      <c r="H149" t="s">
        <v>4224</v>
      </c>
      <c r="I149">
        <v>1</v>
      </c>
      <c r="J149">
        <v>2</v>
      </c>
      <c r="K149" s="34">
        <v>0.5</v>
      </c>
    </row>
    <row r="150" spans="1:11" x14ac:dyDescent="0.25">
      <c r="A150">
        <v>26</v>
      </c>
      <c r="B150">
        <v>29</v>
      </c>
      <c r="C150" t="s">
        <v>3963</v>
      </c>
      <c r="D150" t="s">
        <v>3870</v>
      </c>
      <c r="E150" t="s">
        <v>4015</v>
      </c>
      <c r="F150" t="s">
        <v>4242</v>
      </c>
      <c r="G150" t="s">
        <v>4243</v>
      </c>
      <c r="H150" t="s">
        <v>4253</v>
      </c>
      <c r="I150">
        <v>3</v>
      </c>
      <c r="J150">
        <v>160</v>
      </c>
      <c r="K150" s="34">
        <v>0.02</v>
      </c>
    </row>
    <row r="151" spans="1:11" x14ac:dyDescent="0.25">
      <c r="A151">
        <v>28</v>
      </c>
      <c r="B151">
        <v>30</v>
      </c>
      <c r="C151" t="s">
        <v>4023</v>
      </c>
      <c r="D151" t="s">
        <v>3870</v>
      </c>
      <c r="E151" t="s">
        <v>4024</v>
      </c>
      <c r="F151" t="s">
        <v>4025</v>
      </c>
      <c r="G151" t="s">
        <v>4026</v>
      </c>
      <c r="H151" t="s">
        <v>4227</v>
      </c>
      <c r="I151">
        <v>0</v>
      </c>
      <c r="J151">
        <v>6</v>
      </c>
      <c r="K151" s="34">
        <v>0</v>
      </c>
    </row>
    <row r="152" spans="1:11" x14ac:dyDescent="0.25">
      <c r="A152">
        <v>30</v>
      </c>
      <c r="B152">
        <v>31</v>
      </c>
      <c r="C152" t="s">
        <v>3963</v>
      </c>
      <c r="D152" t="s">
        <v>3870</v>
      </c>
      <c r="E152" t="s">
        <v>4027</v>
      </c>
      <c r="F152" t="s">
        <v>3923</v>
      </c>
      <c r="G152" t="s">
        <v>4028</v>
      </c>
      <c r="H152" t="s">
        <v>4224</v>
      </c>
      <c r="I152">
        <v>4</v>
      </c>
      <c r="J152">
        <v>4</v>
      </c>
      <c r="K152" s="34">
        <v>1</v>
      </c>
    </row>
    <row r="153" spans="1:11" x14ac:dyDescent="0.25">
      <c r="A153" t="s">
        <v>4223</v>
      </c>
      <c r="B153">
        <v>32</v>
      </c>
      <c r="C153" t="s">
        <v>4036</v>
      </c>
      <c r="D153" t="s">
        <v>4035</v>
      </c>
      <c r="E153" t="s">
        <v>836</v>
      </c>
      <c r="F153" t="s">
        <v>4037</v>
      </c>
      <c r="G153" t="s">
        <v>4038</v>
      </c>
      <c r="H153" t="s">
        <v>4224</v>
      </c>
      <c r="I153">
        <v>1</v>
      </c>
      <c r="J153">
        <v>1</v>
      </c>
      <c r="K153" s="34">
        <v>1</v>
      </c>
    </row>
    <row r="154" spans="1:11" x14ac:dyDescent="0.25">
      <c r="A154">
        <v>3</v>
      </c>
      <c r="B154">
        <v>33</v>
      </c>
      <c r="C154" t="s">
        <v>3956</v>
      </c>
      <c r="D154" t="s">
        <v>4035</v>
      </c>
      <c r="E154" t="s">
        <v>836</v>
      </c>
      <c r="F154" t="s">
        <v>3923</v>
      </c>
      <c r="G154" t="s">
        <v>3890</v>
      </c>
      <c r="H154" t="s">
        <v>4230</v>
      </c>
      <c r="I154">
        <v>0</v>
      </c>
      <c r="J154">
        <v>6</v>
      </c>
      <c r="K154" s="34">
        <v>0</v>
      </c>
    </row>
    <row r="155" spans="1:11" x14ac:dyDescent="0.25">
      <c r="A155">
        <v>22</v>
      </c>
      <c r="B155">
        <v>34</v>
      </c>
      <c r="C155" t="s">
        <v>3963</v>
      </c>
      <c r="D155" t="s">
        <v>4035</v>
      </c>
      <c r="E155" t="s">
        <v>836</v>
      </c>
      <c r="F155" t="s">
        <v>4041</v>
      </c>
      <c r="G155" t="s">
        <v>3890</v>
      </c>
      <c r="H155" t="s">
        <v>4230</v>
      </c>
      <c r="I155">
        <v>2</v>
      </c>
      <c r="J155">
        <v>2</v>
      </c>
      <c r="K155" s="34">
        <v>1</v>
      </c>
    </row>
    <row r="156" spans="1:11" x14ac:dyDescent="0.25">
      <c r="A156" t="s">
        <v>4238</v>
      </c>
      <c r="B156">
        <v>35</v>
      </c>
      <c r="C156" t="s">
        <v>4044</v>
      </c>
      <c r="D156" t="s">
        <v>4035</v>
      </c>
      <c r="E156" t="s">
        <v>836</v>
      </c>
      <c r="F156" t="s">
        <v>4045</v>
      </c>
      <c r="G156" t="s">
        <v>3890</v>
      </c>
      <c r="H156" t="s">
        <v>4230</v>
      </c>
      <c r="I156">
        <v>1</v>
      </c>
      <c r="J156">
        <v>2</v>
      </c>
      <c r="K156" s="34">
        <v>0.5</v>
      </c>
    </row>
    <row r="157" spans="1:11" x14ac:dyDescent="0.25">
      <c r="A157">
        <v>19</v>
      </c>
      <c r="B157">
        <v>36</v>
      </c>
      <c r="C157" t="s">
        <v>4047</v>
      </c>
      <c r="D157" t="s">
        <v>4035</v>
      </c>
      <c r="E157" t="s">
        <v>836</v>
      </c>
      <c r="F157" t="s">
        <v>4244</v>
      </c>
      <c r="G157" t="s">
        <v>4026</v>
      </c>
      <c r="H157" t="s">
        <v>4227</v>
      </c>
      <c r="I157">
        <v>0</v>
      </c>
      <c r="J157">
        <v>3</v>
      </c>
      <c r="K157" s="34">
        <v>0</v>
      </c>
    </row>
    <row r="158" spans="1:11" x14ac:dyDescent="0.25">
      <c r="A158">
        <v>18</v>
      </c>
      <c r="B158">
        <v>37</v>
      </c>
      <c r="C158" t="s">
        <v>4050</v>
      </c>
      <c r="D158" t="s">
        <v>4035</v>
      </c>
      <c r="E158" t="s">
        <v>836</v>
      </c>
      <c r="F158" t="s">
        <v>4041</v>
      </c>
      <c r="G158" t="s">
        <v>4052</v>
      </c>
      <c r="H158" t="s">
        <v>4224</v>
      </c>
      <c r="I158">
        <v>1</v>
      </c>
      <c r="J158">
        <v>7</v>
      </c>
      <c r="K158" s="34">
        <v>0.14000000000000001</v>
      </c>
    </row>
    <row r="159" spans="1:11" x14ac:dyDescent="0.25">
      <c r="A159" t="s">
        <v>4223</v>
      </c>
      <c r="B159">
        <v>38</v>
      </c>
      <c r="C159" t="s">
        <v>4036</v>
      </c>
      <c r="D159" t="s">
        <v>4055</v>
      </c>
      <c r="E159" t="s">
        <v>3890</v>
      </c>
      <c r="F159" t="s">
        <v>4245</v>
      </c>
      <c r="G159" t="s">
        <v>4026</v>
      </c>
      <c r="H159" t="s">
        <v>4224</v>
      </c>
      <c r="I159">
        <v>4</v>
      </c>
      <c r="J159">
        <v>5</v>
      </c>
      <c r="K159" s="34">
        <v>0.8</v>
      </c>
    </row>
    <row r="160" spans="1:11" x14ac:dyDescent="0.25">
      <c r="A160">
        <v>3</v>
      </c>
      <c r="B160">
        <v>39</v>
      </c>
      <c r="C160" t="s">
        <v>4060</v>
      </c>
      <c r="D160" t="s">
        <v>4055</v>
      </c>
      <c r="E160" t="s">
        <v>3890</v>
      </c>
      <c r="F160" t="s">
        <v>4061</v>
      </c>
      <c r="G160" t="s">
        <v>836</v>
      </c>
      <c r="H160" t="s">
        <v>4230</v>
      </c>
      <c r="I160">
        <v>0</v>
      </c>
      <c r="J160">
        <v>12</v>
      </c>
      <c r="K160" s="34">
        <v>0</v>
      </c>
    </row>
    <row r="161" spans="1:11" x14ac:dyDescent="0.25">
      <c r="A161">
        <v>12</v>
      </c>
      <c r="B161">
        <v>40</v>
      </c>
      <c r="C161" t="s">
        <v>3890</v>
      </c>
      <c r="D161" t="s">
        <v>4055</v>
      </c>
      <c r="E161" t="s">
        <v>4232</v>
      </c>
      <c r="F161" t="s">
        <v>4063</v>
      </c>
      <c r="G161" t="s">
        <v>836</v>
      </c>
      <c r="H161" t="s">
        <v>4230</v>
      </c>
      <c r="I161">
        <v>2</v>
      </c>
      <c r="J161">
        <v>3</v>
      </c>
      <c r="K161" s="34">
        <v>0.67</v>
      </c>
    </row>
    <row r="162" spans="1:11" x14ac:dyDescent="0.25">
      <c r="A162" t="s">
        <v>4228</v>
      </c>
      <c r="B162">
        <v>41</v>
      </c>
      <c r="C162" t="s">
        <v>4246</v>
      </c>
      <c r="D162" t="s">
        <v>4055</v>
      </c>
      <c r="E162" t="s">
        <v>4067</v>
      </c>
      <c r="F162" t="s">
        <v>4068</v>
      </c>
      <c r="G162" t="s">
        <v>3890</v>
      </c>
      <c r="H162" t="s">
        <v>4230</v>
      </c>
      <c r="I162">
        <v>1</v>
      </c>
      <c r="J162">
        <v>34</v>
      </c>
      <c r="K162" s="34">
        <v>0.03</v>
      </c>
    </row>
    <row r="163" spans="1:11" x14ac:dyDescent="0.25">
      <c r="A163">
        <v>20</v>
      </c>
      <c r="B163">
        <v>42</v>
      </c>
      <c r="C163" t="s">
        <v>4247</v>
      </c>
      <c r="D163" t="s">
        <v>4055</v>
      </c>
      <c r="E163" t="s">
        <v>4073</v>
      </c>
      <c r="F163" t="s">
        <v>3890</v>
      </c>
      <c r="G163" t="s">
        <v>3890</v>
      </c>
      <c r="H163" t="s">
        <v>4230</v>
      </c>
      <c r="I163">
        <v>0</v>
      </c>
      <c r="J163">
        <v>69</v>
      </c>
      <c r="K163" s="34">
        <v>0</v>
      </c>
    </row>
    <row r="164" spans="1:11" x14ac:dyDescent="0.25">
      <c r="A164" t="s">
        <v>4238</v>
      </c>
      <c r="B164">
        <v>43</v>
      </c>
      <c r="C164" t="s">
        <v>4060</v>
      </c>
      <c r="D164" t="s">
        <v>4055</v>
      </c>
      <c r="E164" t="s">
        <v>3890</v>
      </c>
      <c r="F164" t="s">
        <v>4076</v>
      </c>
      <c r="G164" t="s">
        <v>3890</v>
      </c>
      <c r="H164" t="s">
        <v>4230</v>
      </c>
      <c r="I164">
        <v>4</v>
      </c>
      <c r="J164">
        <v>10</v>
      </c>
      <c r="K164" s="34">
        <v>0.4</v>
      </c>
    </row>
    <row r="165" spans="1:11" x14ac:dyDescent="0.25">
      <c r="A165">
        <v>10</v>
      </c>
      <c r="B165">
        <v>44</v>
      </c>
      <c r="C165" t="s">
        <v>4060</v>
      </c>
      <c r="D165" t="s">
        <v>4055</v>
      </c>
      <c r="E165" t="s">
        <v>3887</v>
      </c>
      <c r="F165" t="s">
        <v>4077</v>
      </c>
      <c r="G165" t="s">
        <v>4078</v>
      </c>
      <c r="H165" t="s">
        <v>4227</v>
      </c>
      <c r="I165">
        <v>0</v>
      </c>
      <c r="J165">
        <v>45</v>
      </c>
      <c r="K165" s="34">
        <v>0</v>
      </c>
    </row>
    <row r="166" spans="1:11" x14ac:dyDescent="0.25">
      <c r="A166">
        <v>19</v>
      </c>
      <c r="B166">
        <v>45</v>
      </c>
      <c r="C166" t="s">
        <v>3890</v>
      </c>
      <c r="D166" t="s">
        <v>4055</v>
      </c>
      <c r="E166" t="s">
        <v>3890</v>
      </c>
      <c r="F166" t="s">
        <v>4248</v>
      </c>
      <c r="G166" t="s">
        <v>4026</v>
      </c>
      <c r="H166" t="s">
        <v>4227</v>
      </c>
      <c r="I166">
        <v>0</v>
      </c>
      <c r="J166">
        <v>18</v>
      </c>
      <c r="K166" s="34">
        <v>0</v>
      </c>
    </row>
    <row r="167" spans="1:11" x14ac:dyDescent="0.25">
      <c r="A167">
        <v>23</v>
      </c>
      <c r="B167">
        <v>46</v>
      </c>
      <c r="C167" t="s">
        <v>3890</v>
      </c>
      <c r="D167" t="s">
        <v>4055</v>
      </c>
      <c r="E167" t="s">
        <v>3890</v>
      </c>
      <c r="F167" t="s">
        <v>4083</v>
      </c>
      <c r="G167" t="s">
        <v>3890</v>
      </c>
      <c r="H167" t="s">
        <v>4230</v>
      </c>
      <c r="I167">
        <v>8</v>
      </c>
      <c r="J167">
        <v>8</v>
      </c>
      <c r="K167" s="34">
        <v>1</v>
      </c>
    </row>
    <row r="168" spans="1:11" x14ac:dyDescent="0.25">
      <c r="A168">
        <v>18</v>
      </c>
      <c r="B168">
        <v>47</v>
      </c>
      <c r="C168" t="s">
        <v>3963</v>
      </c>
      <c r="D168" t="s">
        <v>4055</v>
      </c>
      <c r="E168" t="s">
        <v>4249</v>
      </c>
      <c r="F168" t="s">
        <v>4086</v>
      </c>
      <c r="G168" t="s">
        <v>4087</v>
      </c>
      <c r="H168" t="s">
        <v>4252</v>
      </c>
      <c r="I168">
        <v>1</v>
      </c>
      <c r="J168">
        <v>12</v>
      </c>
      <c r="K168" s="34">
        <v>0.08</v>
      </c>
    </row>
    <row r="169" spans="1:11" x14ac:dyDescent="0.25">
      <c r="A169" t="s">
        <v>4239</v>
      </c>
      <c r="B169">
        <v>48</v>
      </c>
      <c r="C169" t="s">
        <v>3984</v>
      </c>
      <c r="D169" t="s">
        <v>4055</v>
      </c>
      <c r="E169" t="s">
        <v>4005</v>
      </c>
      <c r="F169" t="s">
        <v>4090</v>
      </c>
      <c r="G169" t="s">
        <v>3890</v>
      </c>
      <c r="H169" t="s">
        <v>4230</v>
      </c>
      <c r="I169">
        <v>0</v>
      </c>
      <c r="J169">
        <v>20</v>
      </c>
      <c r="K169" s="34">
        <v>0</v>
      </c>
    </row>
    <row r="170" spans="1:11" x14ac:dyDescent="0.25">
      <c r="A170">
        <v>28</v>
      </c>
      <c r="B170">
        <v>49</v>
      </c>
      <c r="C170" t="s">
        <v>4092</v>
      </c>
      <c r="D170" t="s">
        <v>4055</v>
      </c>
      <c r="E170" t="s">
        <v>836</v>
      </c>
      <c r="F170" t="s">
        <v>836</v>
      </c>
      <c r="G170" t="s">
        <v>4026</v>
      </c>
      <c r="H170" t="s">
        <v>4227</v>
      </c>
      <c r="I170">
        <v>0</v>
      </c>
      <c r="J170">
        <v>1</v>
      </c>
      <c r="K170" s="34">
        <v>0</v>
      </c>
    </row>
    <row r="171" spans="1:11" x14ac:dyDescent="0.25">
      <c r="A171" t="s">
        <v>4223</v>
      </c>
      <c r="B171">
        <v>50</v>
      </c>
      <c r="C171" t="s">
        <v>2533</v>
      </c>
      <c r="D171" t="s">
        <v>4093</v>
      </c>
      <c r="E171" t="s">
        <v>836</v>
      </c>
      <c r="F171" t="s">
        <v>4094</v>
      </c>
      <c r="G171" t="s">
        <v>4095</v>
      </c>
      <c r="H171" t="s">
        <v>4224</v>
      </c>
      <c r="I171">
        <v>10</v>
      </c>
      <c r="J171">
        <v>13</v>
      </c>
      <c r="K171" s="34">
        <v>0.77</v>
      </c>
    </row>
    <row r="172" spans="1:11" x14ac:dyDescent="0.25">
      <c r="A172">
        <v>12</v>
      </c>
      <c r="B172">
        <v>51</v>
      </c>
      <c r="C172" t="s">
        <v>3963</v>
      </c>
      <c r="D172" t="s">
        <v>4093</v>
      </c>
      <c r="E172" t="s">
        <v>836</v>
      </c>
      <c r="F172" t="s">
        <v>4100</v>
      </c>
      <c r="G172" t="s">
        <v>836</v>
      </c>
      <c r="H172" t="s">
        <v>4230</v>
      </c>
      <c r="I172">
        <v>4</v>
      </c>
      <c r="J172">
        <v>4</v>
      </c>
      <c r="K172" s="34">
        <v>1</v>
      </c>
    </row>
    <row r="173" spans="1:11" x14ac:dyDescent="0.25">
      <c r="A173" t="s">
        <v>4228</v>
      </c>
      <c r="B173">
        <v>52</v>
      </c>
      <c r="C173" t="s">
        <v>4103</v>
      </c>
      <c r="D173" t="s">
        <v>4093</v>
      </c>
      <c r="E173" t="s">
        <v>836</v>
      </c>
      <c r="F173" t="s">
        <v>4104</v>
      </c>
      <c r="G173" t="s">
        <v>836</v>
      </c>
      <c r="H173" t="s">
        <v>4230</v>
      </c>
      <c r="I173">
        <v>0</v>
      </c>
      <c r="J173">
        <v>36</v>
      </c>
      <c r="K173" s="34">
        <v>0</v>
      </c>
    </row>
    <row r="174" spans="1:11" x14ac:dyDescent="0.25">
      <c r="A174">
        <v>13</v>
      </c>
      <c r="B174">
        <v>53</v>
      </c>
      <c r="C174" t="s">
        <v>3890</v>
      </c>
      <c r="D174" t="s">
        <v>4093</v>
      </c>
      <c r="E174" t="s">
        <v>836</v>
      </c>
      <c r="F174" t="s">
        <v>4107</v>
      </c>
      <c r="G174" t="s">
        <v>836</v>
      </c>
      <c r="H174" t="s">
        <v>4230</v>
      </c>
      <c r="I174">
        <v>1</v>
      </c>
      <c r="J174">
        <v>4</v>
      </c>
      <c r="K174" s="34">
        <v>0.25</v>
      </c>
    </row>
    <row r="175" spans="1:11" x14ac:dyDescent="0.25">
      <c r="A175">
        <v>10</v>
      </c>
      <c r="B175">
        <v>54</v>
      </c>
      <c r="C175" t="s">
        <v>4110</v>
      </c>
      <c r="D175" t="s">
        <v>4093</v>
      </c>
      <c r="E175" t="s">
        <v>836</v>
      </c>
      <c r="F175" t="s">
        <v>4111</v>
      </c>
      <c r="G175" t="s">
        <v>4112</v>
      </c>
      <c r="H175" t="s">
        <v>4227</v>
      </c>
      <c r="I175">
        <v>0</v>
      </c>
      <c r="J175">
        <v>45</v>
      </c>
      <c r="K175" s="34">
        <v>0</v>
      </c>
    </row>
    <row r="176" spans="1:11" x14ac:dyDescent="0.25">
      <c r="A176">
        <v>19</v>
      </c>
      <c r="B176">
        <v>55</v>
      </c>
      <c r="C176" t="s">
        <v>3890</v>
      </c>
      <c r="D176" t="s">
        <v>4093</v>
      </c>
      <c r="E176" t="s">
        <v>836</v>
      </c>
      <c r="F176" t="s">
        <v>4250</v>
      </c>
      <c r="G176" t="s">
        <v>4026</v>
      </c>
      <c r="H176" t="s">
        <v>4227</v>
      </c>
      <c r="I176">
        <v>0</v>
      </c>
      <c r="J176">
        <v>2</v>
      </c>
      <c r="K176" s="34">
        <v>0</v>
      </c>
    </row>
    <row r="177" spans="1:11" x14ac:dyDescent="0.25">
      <c r="A177" t="s">
        <v>4231</v>
      </c>
      <c r="B177">
        <v>56</v>
      </c>
      <c r="C177" t="s">
        <v>3890</v>
      </c>
      <c r="D177" t="s">
        <v>4093</v>
      </c>
      <c r="E177" t="s">
        <v>836</v>
      </c>
      <c r="F177" t="s">
        <v>4115</v>
      </c>
      <c r="G177" t="s">
        <v>836</v>
      </c>
      <c r="H177" t="s">
        <v>4230</v>
      </c>
      <c r="I177">
        <v>0</v>
      </c>
      <c r="J177">
        <v>17</v>
      </c>
      <c r="K177" s="34">
        <v>0</v>
      </c>
    </row>
    <row r="178" spans="1:11" x14ac:dyDescent="0.25">
      <c r="A178">
        <v>29</v>
      </c>
      <c r="B178">
        <v>57</v>
      </c>
      <c r="C178" t="s">
        <v>2533</v>
      </c>
      <c r="D178" t="s">
        <v>4093</v>
      </c>
      <c r="E178" t="s">
        <v>836</v>
      </c>
      <c r="F178" t="s">
        <v>4118</v>
      </c>
      <c r="G178" t="s">
        <v>3889</v>
      </c>
      <c r="H178" t="s">
        <v>4227</v>
      </c>
      <c r="I178">
        <v>0</v>
      </c>
      <c r="J178">
        <v>1</v>
      </c>
      <c r="K178" s="34">
        <v>0</v>
      </c>
    </row>
    <row r="179" spans="1:11" x14ac:dyDescent="0.25">
      <c r="A179" t="s">
        <v>4223</v>
      </c>
      <c r="B179">
        <v>58</v>
      </c>
      <c r="C179" t="s">
        <v>836</v>
      </c>
      <c r="D179" t="s">
        <v>4120</v>
      </c>
      <c r="E179" t="s">
        <v>836</v>
      </c>
      <c r="F179" t="s">
        <v>4121</v>
      </c>
      <c r="G179" t="s">
        <v>4122</v>
      </c>
      <c r="H179" t="s">
        <v>4224</v>
      </c>
      <c r="I179">
        <v>4</v>
      </c>
      <c r="J179">
        <v>11</v>
      </c>
      <c r="K179" s="34">
        <v>0.36</v>
      </c>
    </row>
    <row r="180" spans="1:11" x14ac:dyDescent="0.25">
      <c r="A180">
        <v>12</v>
      </c>
      <c r="B180">
        <v>59</v>
      </c>
      <c r="C180" t="s">
        <v>836</v>
      </c>
      <c r="D180" t="s">
        <v>4120</v>
      </c>
      <c r="E180" t="s">
        <v>836</v>
      </c>
      <c r="F180" t="s">
        <v>1963</v>
      </c>
      <c r="G180" t="s">
        <v>3890</v>
      </c>
      <c r="H180" t="s">
        <v>4230</v>
      </c>
      <c r="I180">
        <v>8</v>
      </c>
      <c r="J180">
        <v>12</v>
      </c>
      <c r="K180" s="34">
        <v>0.67</v>
      </c>
    </row>
    <row r="181" spans="1:11" x14ac:dyDescent="0.25">
      <c r="A181">
        <v>20</v>
      </c>
      <c r="B181">
        <v>60</v>
      </c>
      <c r="C181" t="s">
        <v>836</v>
      </c>
      <c r="D181" t="s">
        <v>4120</v>
      </c>
      <c r="E181" t="s">
        <v>836</v>
      </c>
      <c r="F181" t="s">
        <v>4129</v>
      </c>
      <c r="G181" t="s">
        <v>3890</v>
      </c>
      <c r="H181" t="s">
        <v>4230</v>
      </c>
      <c r="I181">
        <v>0</v>
      </c>
      <c r="J181">
        <v>6</v>
      </c>
      <c r="K181" s="34">
        <v>0</v>
      </c>
    </row>
    <row r="182" spans="1:11" x14ac:dyDescent="0.25">
      <c r="A182" t="s">
        <v>4238</v>
      </c>
      <c r="B182">
        <v>61</v>
      </c>
      <c r="C182" t="s">
        <v>836</v>
      </c>
      <c r="D182" t="s">
        <v>4120</v>
      </c>
      <c r="E182" t="s">
        <v>836</v>
      </c>
      <c r="F182" t="s">
        <v>4130</v>
      </c>
      <c r="G182" t="s">
        <v>3890</v>
      </c>
      <c r="H182" t="s">
        <v>4230</v>
      </c>
      <c r="I182">
        <v>2</v>
      </c>
      <c r="J182">
        <v>3</v>
      </c>
      <c r="K182" s="34">
        <v>0.67</v>
      </c>
    </row>
    <row r="183" spans="1:11" x14ac:dyDescent="0.25">
      <c r="A183">
        <v>10</v>
      </c>
      <c r="B183">
        <v>62</v>
      </c>
      <c r="C183" t="s">
        <v>836</v>
      </c>
      <c r="D183" t="s">
        <v>4120</v>
      </c>
      <c r="E183" t="s">
        <v>836</v>
      </c>
      <c r="F183" t="s">
        <v>4129</v>
      </c>
      <c r="G183" t="s">
        <v>3890</v>
      </c>
      <c r="H183" t="s">
        <v>4230</v>
      </c>
      <c r="I183">
        <v>0</v>
      </c>
      <c r="J183">
        <v>9</v>
      </c>
      <c r="K183" s="34">
        <v>0</v>
      </c>
    </row>
    <row r="184" spans="1:11" x14ac:dyDescent="0.25">
      <c r="A184">
        <v>28</v>
      </c>
      <c r="B184">
        <v>63</v>
      </c>
      <c r="C184" t="s">
        <v>4134</v>
      </c>
      <c r="D184" t="s">
        <v>4120</v>
      </c>
      <c r="E184" t="s">
        <v>836</v>
      </c>
      <c r="F184" t="s">
        <v>836</v>
      </c>
      <c r="G184" t="s">
        <v>4026</v>
      </c>
      <c r="H184" t="s">
        <v>4227</v>
      </c>
      <c r="I184">
        <v>0</v>
      </c>
      <c r="J184">
        <v>1</v>
      </c>
      <c r="K184" s="34">
        <v>0</v>
      </c>
    </row>
  </sheetData>
  <autoFilter ref="A7:R71" xr:uid="{8910B466-FC02-4E9A-986D-CA160C02BFC9}"/>
  <pageMargins left="0.7" right="0.7" top="0.75" bottom="0.75" header="0.3" footer="0.3"/>
  <pageSetup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EAB65-0C05-43E4-A347-BEF610F8C664}">
  <dimension ref="A1:H9"/>
  <sheetViews>
    <sheetView workbookViewId="0">
      <selection activeCell="A2" sqref="A2"/>
    </sheetView>
  </sheetViews>
  <sheetFormatPr defaultRowHeight="15" x14ac:dyDescent="0.25"/>
  <cols>
    <col min="1" max="1" width="27" customWidth="1"/>
    <col min="2" max="2" width="4.7109375" bestFit="1" customWidth="1"/>
    <col min="3" max="3" width="12.7109375" customWidth="1"/>
    <col min="4" max="4" width="8.42578125" bestFit="1" customWidth="1"/>
    <col min="5" max="5" width="11.140625" bestFit="1" customWidth="1"/>
    <col min="6" max="6" width="12" customWidth="1"/>
    <col min="7" max="7" width="11" customWidth="1"/>
    <col min="8" max="8" width="15.7109375" bestFit="1" customWidth="1"/>
  </cols>
  <sheetData>
    <row r="1" spans="1:8" x14ac:dyDescent="0.25">
      <c r="A1" t="s">
        <v>3842</v>
      </c>
    </row>
    <row r="3" spans="1:8" x14ac:dyDescent="0.25">
      <c r="A3" s="185" t="s">
        <v>3845</v>
      </c>
      <c r="B3" s="185"/>
      <c r="C3" s="185"/>
      <c r="D3" s="185"/>
      <c r="E3" s="185"/>
      <c r="F3" s="185"/>
      <c r="G3" s="185"/>
      <c r="H3" s="185"/>
    </row>
    <row r="4" spans="1:8" s="2" customFormat="1" ht="105" x14ac:dyDescent="0.25">
      <c r="A4" s="187" t="s">
        <v>1469</v>
      </c>
      <c r="B4" s="187" t="s">
        <v>1776</v>
      </c>
      <c r="C4" s="187" t="s">
        <v>3843</v>
      </c>
      <c r="D4" s="187" t="s">
        <v>3847</v>
      </c>
      <c r="E4" s="187" t="s">
        <v>3844</v>
      </c>
      <c r="F4" s="187" t="s">
        <v>3846</v>
      </c>
      <c r="G4" s="187" t="s">
        <v>3848</v>
      </c>
      <c r="H4" s="187" t="s">
        <v>3841</v>
      </c>
    </row>
    <row r="5" spans="1:8" x14ac:dyDescent="0.25">
      <c r="A5" s="185" t="s">
        <v>3849</v>
      </c>
      <c r="B5" s="185">
        <v>20</v>
      </c>
      <c r="C5" s="339">
        <f>C6/16</f>
        <v>3.1250000000000002E-3</v>
      </c>
      <c r="D5" s="337">
        <v>30</v>
      </c>
      <c r="E5" s="340">
        <f>C5/(D5*D5)</f>
        <v>3.4722222222222224E-6</v>
      </c>
      <c r="F5" s="340">
        <f>E5/10</f>
        <v>3.4722222222222224E-7</v>
      </c>
      <c r="G5" s="337">
        <f>1/F5</f>
        <v>2880000</v>
      </c>
      <c r="H5" s="338">
        <f>1-F5</f>
        <v>0.9999996527777778</v>
      </c>
    </row>
    <row r="6" spans="1:8" x14ac:dyDescent="0.25">
      <c r="A6" s="185" t="s">
        <v>3850</v>
      </c>
      <c r="B6" s="185">
        <v>20</v>
      </c>
      <c r="C6" s="339">
        <f>1/B6</f>
        <v>0.05</v>
      </c>
      <c r="D6" s="337">
        <v>30</v>
      </c>
      <c r="E6" s="340">
        <f>C6/(D6*D6)</f>
        <v>5.5555555555555558E-5</v>
      </c>
      <c r="F6" s="340">
        <f>E6/10</f>
        <v>5.5555555555555558E-6</v>
      </c>
      <c r="G6" s="337">
        <f>1/F6</f>
        <v>180000</v>
      </c>
      <c r="H6" s="338">
        <f>1-F6</f>
        <v>0.99999444444444441</v>
      </c>
    </row>
    <row r="7" spans="1:8" x14ac:dyDescent="0.25">
      <c r="D7" s="337"/>
    </row>
    <row r="8" spans="1:8" x14ac:dyDescent="0.25">
      <c r="A8" s="185" t="s">
        <v>3851</v>
      </c>
      <c r="B8">
        <v>20</v>
      </c>
      <c r="C8" s="339">
        <f>C9/16</f>
        <v>3.1250000000000002E-3</v>
      </c>
      <c r="D8" s="337">
        <v>1</v>
      </c>
      <c r="E8" s="340">
        <f t="shared" ref="E8:E9" si="0">C8/(D8*D8)</f>
        <v>3.1250000000000002E-3</v>
      </c>
      <c r="F8" s="340">
        <f>E8/10</f>
        <v>3.1250000000000001E-4</v>
      </c>
      <c r="G8" s="337">
        <f>1/F8</f>
        <v>3200</v>
      </c>
      <c r="H8" s="338">
        <f>1-F8</f>
        <v>0.99968749999999995</v>
      </c>
    </row>
    <row r="9" spans="1:8" x14ac:dyDescent="0.25">
      <c r="A9" s="185" t="s">
        <v>3852</v>
      </c>
      <c r="B9">
        <v>20</v>
      </c>
      <c r="C9" s="339">
        <f>1/B9</f>
        <v>0.05</v>
      </c>
      <c r="D9" s="337">
        <v>1</v>
      </c>
      <c r="E9" s="340">
        <f t="shared" si="0"/>
        <v>0.05</v>
      </c>
      <c r="F9" s="340">
        <f>E9/10</f>
        <v>5.0000000000000001E-3</v>
      </c>
      <c r="G9" s="337">
        <f>1/F9</f>
        <v>200</v>
      </c>
      <c r="H9" s="338">
        <f>1-F9</f>
        <v>0.995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2A7B-DF6C-464E-A612-59C89BDF428C}">
  <dimension ref="A2:I11"/>
  <sheetViews>
    <sheetView workbookViewId="0">
      <selection activeCell="A8" sqref="A8:F14"/>
    </sheetView>
  </sheetViews>
  <sheetFormatPr defaultRowHeight="15" x14ac:dyDescent="0.25"/>
  <cols>
    <col min="1" max="1" width="18.7109375" customWidth="1"/>
    <col min="2" max="2" width="11.140625" bestFit="1" customWidth="1"/>
    <col min="3" max="4" width="16" bestFit="1" customWidth="1"/>
    <col min="5" max="6" width="15.7109375" bestFit="1" customWidth="1"/>
    <col min="9" max="9" width="12.85546875" customWidth="1"/>
  </cols>
  <sheetData>
    <row r="2" spans="1:9" x14ac:dyDescent="0.25">
      <c r="A2" t="s">
        <v>3831</v>
      </c>
    </row>
    <row r="3" spans="1:9" s="2" customFormat="1" ht="45" x14ac:dyDescent="0.25">
      <c r="B3" s="2" t="s">
        <v>3835</v>
      </c>
      <c r="C3" s="2" t="s">
        <v>1518</v>
      </c>
      <c r="D3" s="2" t="s">
        <v>1519</v>
      </c>
      <c r="E3" s="2" t="s">
        <v>3836</v>
      </c>
      <c r="F3" s="2" t="s">
        <v>3837</v>
      </c>
      <c r="G3" s="2" t="s">
        <v>3838</v>
      </c>
      <c r="H3" s="2" t="s">
        <v>3839</v>
      </c>
      <c r="I3" s="2" t="s">
        <v>3840</v>
      </c>
    </row>
    <row r="4" spans="1:9" x14ac:dyDescent="0.25">
      <c r="A4" t="s">
        <v>3832</v>
      </c>
      <c r="B4">
        <v>30</v>
      </c>
      <c r="C4">
        <v>30</v>
      </c>
      <c r="D4">
        <v>10</v>
      </c>
      <c r="E4">
        <f>B4*C4*D4</f>
        <v>9000</v>
      </c>
      <c r="F4">
        <v>6</v>
      </c>
      <c r="G4">
        <f>B4*C4*(D4-F4)</f>
        <v>3600</v>
      </c>
      <c r="H4" s="46">
        <f>E4/G4</f>
        <v>2.5</v>
      </c>
      <c r="I4" s="46">
        <v>24</v>
      </c>
    </row>
    <row r="5" spans="1:9" x14ac:dyDescent="0.25">
      <c r="A5" t="s">
        <v>3833</v>
      </c>
      <c r="B5">
        <v>100</v>
      </c>
      <c r="C5">
        <v>100</v>
      </c>
      <c r="D5">
        <v>40</v>
      </c>
      <c r="E5">
        <f>B5*C5*D5</f>
        <v>400000</v>
      </c>
      <c r="F5">
        <v>6</v>
      </c>
      <c r="G5">
        <f>B5*C5*(D5-F5)</f>
        <v>340000</v>
      </c>
      <c r="H5" s="46">
        <f>E5/G5</f>
        <v>1.1764705882352942</v>
      </c>
      <c r="I5" s="46">
        <f>I4*H5/H4</f>
        <v>11.294117647058822</v>
      </c>
    </row>
    <row r="6" spans="1:9" x14ac:dyDescent="0.25">
      <c r="A6" t="s">
        <v>3834</v>
      </c>
      <c r="B6">
        <v>456</v>
      </c>
      <c r="C6">
        <v>310</v>
      </c>
      <c r="D6">
        <v>137</v>
      </c>
      <c r="E6">
        <f>B6*C6*D6</f>
        <v>19366320</v>
      </c>
      <c r="F6">
        <v>6</v>
      </c>
      <c r="G6">
        <f>B6*C6*(D6-F6)</f>
        <v>18518160</v>
      </c>
      <c r="H6" s="46">
        <f>E6/G6</f>
        <v>1.0458015267175573</v>
      </c>
      <c r="I6" s="46">
        <f>I4*H6/H4</f>
        <v>10.03969465648855</v>
      </c>
    </row>
    <row r="8" spans="1:9" s="185" customFormat="1" x14ac:dyDescent="0.25"/>
    <row r="9" spans="1:9" s="187" customFormat="1" x14ac:dyDescent="0.25"/>
    <row r="10" spans="1:9" s="185" customFormat="1" x14ac:dyDescent="0.25"/>
    <row r="11" spans="1:9" s="185" customFormat="1" x14ac:dyDescent="0.25"/>
  </sheetData>
  <pageMargins left="0.7" right="0.7" top="0.75" bottom="0.7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FEE48-E405-45F5-A870-4D7A91EC22CA}">
  <dimension ref="A3:E65"/>
  <sheetViews>
    <sheetView workbookViewId="0">
      <selection activeCell="A40" sqref="A40:XFD40"/>
    </sheetView>
  </sheetViews>
  <sheetFormatPr defaultRowHeight="15" x14ac:dyDescent="0.25"/>
  <cols>
    <col min="1" max="1" width="28" style="185" customWidth="1"/>
    <col min="2" max="5" width="12.7109375" style="185" customWidth="1"/>
    <col min="6" max="16384" width="9.140625" style="185"/>
  </cols>
  <sheetData>
    <row r="3" spans="1:5" x14ac:dyDescent="0.25">
      <c r="A3" s="185" t="s">
        <v>3669</v>
      </c>
    </row>
    <row r="5" spans="1:5" s="187" customFormat="1" ht="90" x14ac:dyDescent="0.25">
      <c r="A5" s="187" t="s">
        <v>3829</v>
      </c>
      <c r="B5" s="187" t="s">
        <v>3824</v>
      </c>
      <c r="C5" s="187" t="s">
        <v>3823</v>
      </c>
      <c r="D5" s="187" t="s">
        <v>3825</v>
      </c>
      <c r="E5" s="187" t="s">
        <v>3826</v>
      </c>
    </row>
    <row r="6" spans="1:5" x14ac:dyDescent="0.25">
      <c r="A6" s="185" t="s">
        <v>3671</v>
      </c>
      <c r="B6" s="185" t="s">
        <v>3670</v>
      </c>
      <c r="C6" s="185" t="s">
        <v>3670</v>
      </c>
      <c r="D6" s="185" t="s">
        <v>3670</v>
      </c>
    </row>
    <row r="7" spans="1:5" x14ac:dyDescent="0.25">
      <c r="A7" s="185" t="s">
        <v>3672</v>
      </c>
      <c r="B7" s="185" t="s">
        <v>3673</v>
      </c>
      <c r="C7" s="185" t="s">
        <v>3674</v>
      </c>
      <c r="D7" s="185" t="s">
        <v>3675</v>
      </c>
      <c r="E7" s="185" t="s">
        <v>3667</v>
      </c>
    </row>
    <row r="8" spans="1:5" x14ac:dyDescent="0.25">
      <c r="A8" s="185" t="s">
        <v>3676</v>
      </c>
      <c r="B8" s="185" t="s">
        <v>3677</v>
      </c>
      <c r="C8" s="185" t="s">
        <v>3678</v>
      </c>
      <c r="D8" s="185" t="s">
        <v>3679</v>
      </c>
      <c r="E8" s="185" t="s">
        <v>3667</v>
      </c>
    </row>
    <row r="9" spans="1:5" x14ac:dyDescent="0.25">
      <c r="A9" s="185" t="s">
        <v>3680</v>
      </c>
      <c r="B9" s="185" t="s">
        <v>3681</v>
      </c>
      <c r="C9" s="185" t="s">
        <v>3682</v>
      </c>
      <c r="D9" s="185" t="s">
        <v>3683</v>
      </c>
      <c r="E9" s="185" t="s">
        <v>3668</v>
      </c>
    </row>
    <row r="10" spans="1:5" x14ac:dyDescent="0.25">
      <c r="A10" s="185" t="s">
        <v>3684</v>
      </c>
      <c r="B10" s="185" t="s">
        <v>3685</v>
      </c>
      <c r="C10" s="185" t="s">
        <v>3686</v>
      </c>
      <c r="D10" s="185" t="s">
        <v>3687</v>
      </c>
      <c r="E10" s="185" t="s">
        <v>3668</v>
      </c>
    </row>
    <row r="11" spans="1:5" x14ac:dyDescent="0.25">
      <c r="A11" s="185" t="s">
        <v>3688</v>
      </c>
      <c r="B11" s="185" t="s">
        <v>3670</v>
      </c>
      <c r="C11" s="185" t="s">
        <v>3670</v>
      </c>
      <c r="D11" s="185" t="s">
        <v>3670</v>
      </c>
    </row>
    <row r="12" spans="1:5" x14ac:dyDescent="0.25">
      <c r="A12" s="185" t="s">
        <v>3689</v>
      </c>
      <c r="B12" s="185" t="s">
        <v>3690</v>
      </c>
      <c r="C12" s="185" t="s">
        <v>3691</v>
      </c>
      <c r="D12" s="185" t="s">
        <v>3692</v>
      </c>
      <c r="E12" s="185" t="s">
        <v>3668</v>
      </c>
    </row>
    <row r="13" spans="1:5" x14ac:dyDescent="0.25">
      <c r="A13" s="185" t="s">
        <v>3693</v>
      </c>
      <c r="B13" s="185" t="s">
        <v>3694</v>
      </c>
      <c r="C13" s="185" t="s">
        <v>3695</v>
      </c>
      <c r="D13" s="185" t="s">
        <v>3696</v>
      </c>
      <c r="E13" s="185" t="s">
        <v>3668</v>
      </c>
    </row>
    <row r="14" spans="1:5" x14ac:dyDescent="0.25">
      <c r="A14" s="185" t="s">
        <v>3680</v>
      </c>
      <c r="B14" s="185" t="s">
        <v>3697</v>
      </c>
      <c r="C14" s="185" t="s">
        <v>3698</v>
      </c>
      <c r="D14" s="185" t="s">
        <v>3699</v>
      </c>
      <c r="E14" s="185" t="s">
        <v>3668</v>
      </c>
    </row>
    <row r="15" spans="1:5" x14ac:dyDescent="0.25">
      <c r="A15" s="185" t="s">
        <v>3684</v>
      </c>
      <c r="B15" s="185" t="s">
        <v>3700</v>
      </c>
      <c r="C15" s="185" t="s">
        <v>3701</v>
      </c>
      <c r="D15" s="185" t="s">
        <v>3687</v>
      </c>
      <c r="E15" s="185" t="s">
        <v>3668</v>
      </c>
    </row>
    <row r="16" spans="1:5" x14ac:dyDescent="0.25">
      <c r="A16" s="185" t="s">
        <v>3702</v>
      </c>
      <c r="B16" s="185" t="s">
        <v>3670</v>
      </c>
      <c r="C16" s="185" t="s">
        <v>3670</v>
      </c>
      <c r="D16" s="185" t="s">
        <v>3670</v>
      </c>
    </row>
    <row r="17" spans="1:5" x14ac:dyDescent="0.25">
      <c r="A17" s="185" t="s">
        <v>3689</v>
      </c>
      <c r="B17" s="185" t="s">
        <v>3703</v>
      </c>
      <c r="C17" s="185" t="s">
        <v>3704</v>
      </c>
      <c r="D17" s="185" t="s">
        <v>3705</v>
      </c>
      <c r="E17" s="185" t="s">
        <v>3668</v>
      </c>
    </row>
    <row r="18" spans="1:5" x14ac:dyDescent="0.25">
      <c r="A18" s="185" t="s">
        <v>3693</v>
      </c>
      <c r="B18" s="185" t="s">
        <v>3706</v>
      </c>
      <c r="C18" s="185" t="s">
        <v>3707</v>
      </c>
      <c r="D18" s="185" t="s">
        <v>3708</v>
      </c>
      <c r="E18" s="185" t="s">
        <v>3668</v>
      </c>
    </row>
    <row r="19" spans="1:5" x14ac:dyDescent="0.25">
      <c r="A19" s="185" t="s">
        <v>3680</v>
      </c>
      <c r="B19" s="185" t="s">
        <v>3709</v>
      </c>
      <c r="C19" s="185" t="s">
        <v>3710</v>
      </c>
      <c r="D19" s="185" t="s">
        <v>3711</v>
      </c>
      <c r="E19" s="185" t="s">
        <v>3668</v>
      </c>
    </row>
    <row r="20" spans="1:5" x14ac:dyDescent="0.25">
      <c r="A20" s="185" t="s">
        <v>3712</v>
      </c>
      <c r="C20" s="185" t="s">
        <v>3713</v>
      </c>
      <c r="D20" s="185" t="s">
        <v>3714</v>
      </c>
      <c r="E20" s="185" t="s">
        <v>3668</v>
      </c>
    </row>
    <row r="22" spans="1:5" x14ac:dyDescent="0.25">
      <c r="A22" s="185" t="s">
        <v>3827</v>
      </c>
    </row>
    <row r="24" spans="1:5" ht="90" x14ac:dyDescent="0.25">
      <c r="A24" s="185" t="s">
        <v>3828</v>
      </c>
      <c r="B24" s="187" t="s">
        <v>3824</v>
      </c>
      <c r="C24" s="187" t="s">
        <v>3823</v>
      </c>
      <c r="D24" s="187" t="s">
        <v>3825</v>
      </c>
      <c r="E24" s="187" t="s">
        <v>3826</v>
      </c>
    </row>
    <row r="25" spans="1:5" x14ac:dyDescent="0.25">
      <c r="A25" s="185" t="s">
        <v>3715</v>
      </c>
      <c r="B25" s="185" t="s">
        <v>3670</v>
      </c>
      <c r="C25" s="185" t="s">
        <v>3670</v>
      </c>
      <c r="D25" s="185" t="s">
        <v>3670</v>
      </c>
    </row>
    <row r="26" spans="1:5" x14ac:dyDescent="0.25">
      <c r="A26" s="185" t="s">
        <v>3716</v>
      </c>
      <c r="B26" s="185" t="s">
        <v>3717</v>
      </c>
      <c r="C26" s="185" t="s">
        <v>3718</v>
      </c>
      <c r="D26" s="185" t="s">
        <v>3719</v>
      </c>
      <c r="E26" s="185" t="s">
        <v>3720</v>
      </c>
    </row>
    <row r="27" spans="1:5" x14ac:dyDescent="0.25">
      <c r="A27" s="185" t="s">
        <v>3721</v>
      </c>
      <c r="B27" s="185" t="s">
        <v>3722</v>
      </c>
      <c r="C27" s="185" t="s">
        <v>3723</v>
      </c>
      <c r="D27" s="185" t="s">
        <v>3724</v>
      </c>
      <c r="E27" s="185" t="s">
        <v>3725</v>
      </c>
    </row>
    <row r="28" spans="1:5" x14ac:dyDescent="0.25">
      <c r="A28" s="185" t="s">
        <v>3680</v>
      </c>
      <c r="B28" s="185" t="s">
        <v>3726</v>
      </c>
      <c r="C28" s="185" t="s">
        <v>3727</v>
      </c>
      <c r="D28" s="185" t="s">
        <v>3728</v>
      </c>
      <c r="E28" s="185" t="s">
        <v>3729</v>
      </c>
    </row>
    <row r="29" spans="1:5" x14ac:dyDescent="0.25">
      <c r="A29" s="185" t="s">
        <v>3684</v>
      </c>
      <c r="B29" s="185" t="s">
        <v>3730</v>
      </c>
      <c r="C29" s="185" t="s">
        <v>3731</v>
      </c>
      <c r="D29" s="185" t="s">
        <v>3696</v>
      </c>
      <c r="E29" s="185" t="s">
        <v>3668</v>
      </c>
    </row>
    <row r="30" spans="1:5" x14ac:dyDescent="0.25">
      <c r="A30" s="185" t="s">
        <v>3732</v>
      </c>
      <c r="B30" s="185" t="s">
        <v>3670</v>
      </c>
      <c r="C30" s="185" t="s">
        <v>3670</v>
      </c>
      <c r="D30" s="185" t="s">
        <v>3670</v>
      </c>
    </row>
    <row r="31" spans="1:5" x14ac:dyDescent="0.25">
      <c r="A31" s="185" t="s">
        <v>3716</v>
      </c>
      <c r="B31" s="185" t="s">
        <v>3733</v>
      </c>
      <c r="C31" s="185" t="s">
        <v>3734</v>
      </c>
      <c r="D31" s="185" t="s">
        <v>3735</v>
      </c>
      <c r="E31" s="185" t="s">
        <v>3720</v>
      </c>
    </row>
    <row r="32" spans="1:5" x14ac:dyDescent="0.25">
      <c r="A32" s="185" t="s">
        <v>3721</v>
      </c>
      <c r="B32" s="185" t="s">
        <v>3736</v>
      </c>
      <c r="C32" s="185" t="s">
        <v>3737</v>
      </c>
      <c r="D32" s="185" t="s">
        <v>3738</v>
      </c>
      <c r="E32" s="185" t="s">
        <v>3739</v>
      </c>
    </row>
    <row r="33" spans="1:5" x14ac:dyDescent="0.25">
      <c r="A33" s="185" t="s">
        <v>3680</v>
      </c>
      <c r="B33" s="185" t="s">
        <v>3740</v>
      </c>
      <c r="C33" s="185" t="s">
        <v>3741</v>
      </c>
      <c r="D33" s="185" t="s">
        <v>3742</v>
      </c>
      <c r="E33" s="185" t="s">
        <v>3743</v>
      </c>
    </row>
    <row r="34" spans="1:5" x14ac:dyDescent="0.25">
      <c r="A34" s="185" t="s">
        <v>3684</v>
      </c>
      <c r="B34" s="185" t="s">
        <v>3744</v>
      </c>
      <c r="C34" s="185" t="s">
        <v>3745</v>
      </c>
      <c r="D34" s="185" t="s">
        <v>3746</v>
      </c>
      <c r="E34" s="185" t="s">
        <v>3668</v>
      </c>
    </row>
    <row r="35" spans="1:5" x14ac:dyDescent="0.25">
      <c r="A35" s="185" t="s">
        <v>3747</v>
      </c>
      <c r="B35" s="185" t="s">
        <v>3670</v>
      </c>
      <c r="C35" s="185" t="s">
        <v>3670</v>
      </c>
      <c r="D35" s="185" t="s">
        <v>3670</v>
      </c>
    </row>
    <row r="36" spans="1:5" x14ac:dyDescent="0.25">
      <c r="B36" s="185" t="s">
        <v>3748</v>
      </c>
      <c r="C36" s="185" t="s">
        <v>3749</v>
      </c>
      <c r="D36" s="185" t="s">
        <v>3750</v>
      </c>
      <c r="E36" s="185" t="s">
        <v>3739</v>
      </c>
    </row>
    <row r="37" spans="1:5" x14ac:dyDescent="0.25">
      <c r="A37" s="185" t="s">
        <v>3721</v>
      </c>
      <c r="B37" s="185" t="s">
        <v>3751</v>
      </c>
      <c r="C37" s="185" t="s">
        <v>3752</v>
      </c>
      <c r="D37" s="185" t="s">
        <v>3753</v>
      </c>
      <c r="E37" s="185" t="s">
        <v>3725</v>
      </c>
    </row>
    <row r="38" spans="1:5" x14ac:dyDescent="0.25">
      <c r="A38" s="185" t="s">
        <v>3680</v>
      </c>
      <c r="B38" s="185" t="s">
        <v>3754</v>
      </c>
      <c r="C38" s="185" t="s">
        <v>3755</v>
      </c>
      <c r="D38" s="185" t="s">
        <v>3756</v>
      </c>
      <c r="E38" s="185" t="s">
        <v>3725</v>
      </c>
    </row>
    <row r="39" spans="1:5" x14ac:dyDescent="0.25">
      <c r="A39" s="185" t="s">
        <v>3684</v>
      </c>
      <c r="B39" s="185" t="s">
        <v>3757</v>
      </c>
      <c r="C39" s="185" t="s">
        <v>3758</v>
      </c>
      <c r="D39" s="185" t="s">
        <v>3759</v>
      </c>
      <c r="E39" s="185" t="s">
        <v>3668</v>
      </c>
    </row>
    <row r="40" spans="1:5" x14ac:dyDescent="0.25">
      <c r="A40" s="185" t="s">
        <v>3760</v>
      </c>
      <c r="B40" s="185" t="s">
        <v>3670</v>
      </c>
      <c r="C40" s="185" t="s">
        <v>3670</v>
      </c>
      <c r="D40" s="185" t="s">
        <v>3670</v>
      </c>
    </row>
    <row r="41" spans="1:5" x14ac:dyDescent="0.25">
      <c r="A41" s="185" t="s">
        <v>3716</v>
      </c>
      <c r="B41" s="185" t="s">
        <v>3761</v>
      </c>
      <c r="C41" s="185" t="s">
        <v>3762</v>
      </c>
      <c r="D41" s="185" t="s">
        <v>3763</v>
      </c>
      <c r="E41" s="185" t="s">
        <v>3725</v>
      </c>
    </row>
    <row r="42" spans="1:5" x14ac:dyDescent="0.25">
      <c r="A42" s="185" t="s">
        <v>3721</v>
      </c>
      <c r="B42" s="185" t="s">
        <v>3764</v>
      </c>
      <c r="C42" s="185" t="s">
        <v>3765</v>
      </c>
      <c r="D42" s="185" t="s">
        <v>3766</v>
      </c>
      <c r="E42" s="185" t="s">
        <v>3668</v>
      </c>
    </row>
    <row r="43" spans="1:5" x14ac:dyDescent="0.25">
      <c r="A43" s="185" t="s">
        <v>3680</v>
      </c>
      <c r="B43" s="185" t="s">
        <v>3767</v>
      </c>
      <c r="C43" s="185" t="s">
        <v>3741</v>
      </c>
      <c r="D43" s="185" t="s">
        <v>3768</v>
      </c>
      <c r="E43" s="185" t="s">
        <v>3725</v>
      </c>
    </row>
    <row r="44" spans="1:5" x14ac:dyDescent="0.25">
      <c r="A44" s="185" t="s">
        <v>3684</v>
      </c>
      <c r="B44" s="185" t="s">
        <v>3757</v>
      </c>
      <c r="C44" s="185" t="s">
        <v>3769</v>
      </c>
      <c r="D44" s="185" t="s">
        <v>3746</v>
      </c>
      <c r="E44" s="185" t="s">
        <v>3668</v>
      </c>
    </row>
    <row r="45" spans="1:5" x14ac:dyDescent="0.25">
      <c r="A45" s="185" t="s">
        <v>3770</v>
      </c>
      <c r="B45" s="185" t="s">
        <v>3670</v>
      </c>
      <c r="C45" s="185" t="s">
        <v>3670</v>
      </c>
      <c r="D45" s="185" t="s">
        <v>3670</v>
      </c>
    </row>
    <row r="46" spans="1:5" x14ac:dyDescent="0.25">
      <c r="A46" s="185" t="s">
        <v>3716</v>
      </c>
      <c r="B46" s="185" t="s">
        <v>3771</v>
      </c>
      <c r="C46" s="185" t="s">
        <v>3772</v>
      </c>
      <c r="D46" s="185" t="s">
        <v>3773</v>
      </c>
      <c r="E46" s="185" t="s">
        <v>3725</v>
      </c>
    </row>
    <row r="47" spans="1:5" x14ac:dyDescent="0.25">
      <c r="A47" s="185" t="s">
        <v>3721</v>
      </c>
      <c r="B47" s="185" t="s">
        <v>3774</v>
      </c>
      <c r="C47" s="185" t="s">
        <v>3775</v>
      </c>
      <c r="D47" s="185" t="s">
        <v>3776</v>
      </c>
      <c r="E47" s="185" t="s">
        <v>3668</v>
      </c>
    </row>
    <row r="48" spans="1:5" x14ac:dyDescent="0.25">
      <c r="A48" s="185" t="s">
        <v>3680</v>
      </c>
      <c r="B48" s="185" t="s">
        <v>3777</v>
      </c>
      <c r="C48" s="185" t="s">
        <v>3778</v>
      </c>
      <c r="D48" s="185" t="s">
        <v>3776</v>
      </c>
      <c r="E48" s="185" t="s">
        <v>3725</v>
      </c>
    </row>
    <row r="49" spans="1:5" x14ac:dyDescent="0.25">
      <c r="A49" s="185" t="s">
        <v>3684</v>
      </c>
      <c r="B49" s="185" t="s">
        <v>3779</v>
      </c>
      <c r="C49" s="185" t="s">
        <v>3780</v>
      </c>
      <c r="D49" s="185" t="s">
        <v>3687</v>
      </c>
      <c r="E49" s="185" t="s">
        <v>3668</v>
      </c>
    </row>
    <row r="50" spans="1:5" x14ac:dyDescent="0.25">
      <c r="A50" s="185" t="s">
        <v>3781</v>
      </c>
      <c r="B50" s="185" t="s">
        <v>3670</v>
      </c>
      <c r="C50" s="185" t="s">
        <v>3670</v>
      </c>
      <c r="D50" s="185" t="s">
        <v>3670</v>
      </c>
    </row>
    <row r="51" spans="1:5" x14ac:dyDescent="0.25">
      <c r="A51" s="185" t="s">
        <v>3716</v>
      </c>
      <c r="B51" s="185" t="s">
        <v>3782</v>
      </c>
      <c r="C51" s="185" t="s">
        <v>3783</v>
      </c>
      <c r="D51" s="185" t="s">
        <v>3784</v>
      </c>
      <c r="E51" s="185" t="s">
        <v>3668</v>
      </c>
    </row>
    <row r="52" spans="1:5" x14ac:dyDescent="0.25">
      <c r="A52" s="185" t="s">
        <v>3785</v>
      </c>
      <c r="B52" s="185" t="s">
        <v>3786</v>
      </c>
      <c r="C52" s="185" t="s">
        <v>3787</v>
      </c>
      <c r="D52" s="185" t="s">
        <v>3788</v>
      </c>
    </row>
    <row r="53" spans="1:5" x14ac:dyDescent="0.25">
      <c r="A53" s="185" t="s">
        <v>3789</v>
      </c>
      <c r="B53" s="185" t="s">
        <v>3790</v>
      </c>
      <c r="C53" s="185" t="s">
        <v>3791</v>
      </c>
      <c r="D53" s="185" t="s">
        <v>3759</v>
      </c>
    </row>
    <row r="54" spans="1:5" x14ac:dyDescent="0.25">
      <c r="A54" s="185" t="s">
        <v>3792</v>
      </c>
      <c r="B54" s="185" t="s">
        <v>3793</v>
      </c>
      <c r="C54" s="185" t="s">
        <v>3700</v>
      </c>
      <c r="D54" s="185">
        <v>0</v>
      </c>
    </row>
    <row r="55" spans="1:5" x14ac:dyDescent="0.25">
      <c r="A55" s="185" t="s">
        <v>3794</v>
      </c>
      <c r="B55" s="185" t="s">
        <v>3795</v>
      </c>
      <c r="C55" s="185" t="s">
        <v>3796</v>
      </c>
      <c r="D55" s="185" t="s">
        <v>3797</v>
      </c>
      <c r="E55" s="185" t="s">
        <v>3668</v>
      </c>
    </row>
    <row r="56" spans="1:5" x14ac:dyDescent="0.25">
      <c r="A56" s="185" t="s">
        <v>3798</v>
      </c>
      <c r="B56" s="185" t="s">
        <v>3799</v>
      </c>
      <c r="C56" s="185" t="s">
        <v>3800</v>
      </c>
      <c r="D56" s="185" t="s">
        <v>3797</v>
      </c>
    </row>
    <row r="57" spans="1:5" x14ac:dyDescent="0.25">
      <c r="A57" s="185" t="s">
        <v>3789</v>
      </c>
      <c r="B57" s="185" t="s">
        <v>3779</v>
      </c>
      <c r="C57" s="185" t="s">
        <v>3801</v>
      </c>
      <c r="D57" s="185" t="s">
        <v>3714</v>
      </c>
    </row>
    <row r="58" spans="1:5" x14ac:dyDescent="0.25">
      <c r="A58" s="185" t="s">
        <v>3792</v>
      </c>
      <c r="B58" s="185" t="s">
        <v>3714</v>
      </c>
      <c r="C58" s="185" t="s">
        <v>3802</v>
      </c>
      <c r="D58" s="185" t="s">
        <v>3714</v>
      </c>
    </row>
    <row r="59" spans="1:5" x14ac:dyDescent="0.25">
      <c r="A59" s="185" t="s">
        <v>3803</v>
      </c>
      <c r="B59" s="185" t="s">
        <v>3670</v>
      </c>
      <c r="C59" s="185" t="s">
        <v>3670</v>
      </c>
      <c r="D59" s="185" t="s">
        <v>3670</v>
      </c>
    </row>
    <row r="60" spans="1:5" x14ac:dyDescent="0.25">
      <c r="A60" s="185" t="s">
        <v>3804</v>
      </c>
      <c r="B60" s="185" t="s">
        <v>3805</v>
      </c>
      <c r="C60" s="185" t="s">
        <v>3806</v>
      </c>
      <c r="D60" s="185" t="s">
        <v>3784</v>
      </c>
      <c r="E60" s="185" t="s">
        <v>3668</v>
      </c>
    </row>
    <row r="61" spans="1:5" x14ac:dyDescent="0.25">
      <c r="A61" s="185" t="s">
        <v>3807</v>
      </c>
      <c r="B61" s="185" t="s">
        <v>3808</v>
      </c>
      <c r="C61" s="185" t="s">
        <v>3809</v>
      </c>
      <c r="D61" s="185" t="s">
        <v>3810</v>
      </c>
    </row>
    <row r="62" spans="1:5" x14ac:dyDescent="0.25">
      <c r="A62" s="185" t="s">
        <v>3811</v>
      </c>
      <c r="B62" s="185" t="s">
        <v>3812</v>
      </c>
      <c r="C62" s="185" t="s">
        <v>3813</v>
      </c>
      <c r="D62" s="185" t="s">
        <v>3810</v>
      </c>
    </row>
    <row r="63" spans="1:5" x14ac:dyDescent="0.25">
      <c r="A63" s="185" t="s">
        <v>3814</v>
      </c>
      <c r="B63" s="185" t="s">
        <v>3815</v>
      </c>
      <c r="C63" s="185" t="s">
        <v>3686</v>
      </c>
      <c r="D63" s="185" t="s">
        <v>3687</v>
      </c>
    </row>
    <row r="64" spans="1:5" x14ac:dyDescent="0.25">
      <c r="A64" s="185" t="s">
        <v>3816</v>
      </c>
      <c r="B64" s="185" t="s">
        <v>3714</v>
      </c>
      <c r="C64" s="185" t="s">
        <v>3817</v>
      </c>
      <c r="D64" s="185" t="s">
        <v>3714</v>
      </c>
    </row>
    <row r="65" spans="1:5" x14ac:dyDescent="0.25">
      <c r="A65" s="185" t="s">
        <v>3818</v>
      </c>
      <c r="B65" s="185" t="s">
        <v>3819</v>
      </c>
      <c r="C65" s="185" t="s">
        <v>3820</v>
      </c>
      <c r="D65" s="185" t="s">
        <v>3821</v>
      </c>
      <c r="E65" s="185" t="s">
        <v>3822</v>
      </c>
    </row>
  </sheetData>
  <pageMargins left="0.7" right="0.7" top="0.75" bottom="0.75" header="0.3" footer="0.3"/>
  <pageSetup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20CD-AB91-427D-A0B9-4F84EDB2022F}">
  <dimension ref="A2:O23"/>
  <sheetViews>
    <sheetView topLeftCell="A2" workbookViewId="0">
      <selection activeCell="A15" sqref="A15:O15"/>
    </sheetView>
  </sheetViews>
  <sheetFormatPr defaultRowHeight="15" x14ac:dyDescent="0.25"/>
  <cols>
    <col min="1" max="1" width="30.42578125" style="308" bestFit="1" customWidth="1"/>
    <col min="2" max="2" width="9.140625" style="308" customWidth="1"/>
    <col min="3" max="6" width="9.140625" style="311"/>
    <col min="7" max="7" width="6.42578125" style="311" customWidth="1"/>
    <col min="8" max="9" width="7.85546875" style="311" bestFit="1" customWidth="1"/>
    <col min="10" max="10" width="7.42578125" style="311" bestFit="1" customWidth="1"/>
    <col min="11" max="11" width="7.28515625" style="311" customWidth="1"/>
    <col min="12" max="12" width="24.7109375" style="313" customWidth="1"/>
    <col min="13" max="13" width="7.7109375" style="308" bestFit="1" customWidth="1"/>
    <col min="14" max="14" width="6" style="33" bestFit="1" customWidth="1"/>
    <col min="15" max="15" width="21.42578125" style="308" bestFit="1" customWidth="1"/>
    <col min="16" max="16384" width="9.140625" style="308"/>
  </cols>
  <sheetData>
    <row r="2" spans="1:15" x14ac:dyDescent="0.25">
      <c r="A2" s="308" t="s">
        <v>3569</v>
      </c>
    </row>
    <row r="4" spans="1:15" s="310" customFormat="1" ht="38.25" x14ac:dyDescent="0.25">
      <c r="A4" s="310" t="s">
        <v>3570</v>
      </c>
      <c r="B4" s="307" t="s">
        <v>3577</v>
      </c>
      <c r="C4" s="307" t="s">
        <v>3576</v>
      </c>
      <c r="D4" s="307" t="s">
        <v>3606</v>
      </c>
      <c r="E4" s="307" t="s">
        <v>1776</v>
      </c>
      <c r="F4" s="307" t="s">
        <v>3603</v>
      </c>
      <c r="G4" s="307" t="s">
        <v>3574</v>
      </c>
      <c r="H4" s="310" t="s">
        <v>3586</v>
      </c>
      <c r="I4" s="310" t="s">
        <v>3587</v>
      </c>
      <c r="J4" s="310" t="s">
        <v>3588</v>
      </c>
      <c r="K4" s="307" t="s">
        <v>3573</v>
      </c>
      <c r="L4" s="310" t="s">
        <v>3594</v>
      </c>
      <c r="M4" s="310" t="s">
        <v>2071</v>
      </c>
      <c r="N4" s="310" t="s">
        <v>3580</v>
      </c>
      <c r="O4" s="310" t="s">
        <v>388</v>
      </c>
    </row>
    <row r="5" spans="1:15" ht="12.75" x14ac:dyDescent="0.25">
      <c r="A5" s="308" t="s">
        <v>3571</v>
      </c>
      <c r="B5" s="311" t="s">
        <v>290</v>
      </c>
      <c r="C5" s="311">
        <v>265</v>
      </c>
      <c r="D5" s="311">
        <f t="shared" ref="D5:D7" si="0">30*30*10</f>
        <v>9000</v>
      </c>
      <c r="E5" s="316">
        <f>C5*60/D5</f>
        <v>1.7666666666666666</v>
      </c>
      <c r="F5" s="311" t="s">
        <v>290</v>
      </c>
      <c r="G5" s="311">
        <v>84</v>
      </c>
      <c r="H5" s="312">
        <v>57.3</v>
      </c>
      <c r="I5" s="311">
        <v>42.9</v>
      </c>
      <c r="J5" s="311">
        <v>32.799999999999997</v>
      </c>
      <c r="K5" s="311">
        <v>28</v>
      </c>
      <c r="L5" s="309" t="s">
        <v>3600</v>
      </c>
      <c r="M5" s="314">
        <v>719</v>
      </c>
      <c r="N5" s="309">
        <v>1</v>
      </c>
    </row>
    <row r="6" spans="1:15" ht="12.75" x14ac:dyDescent="0.25">
      <c r="A6" s="308" t="s">
        <v>3572</v>
      </c>
      <c r="B6" s="311" t="s">
        <v>290</v>
      </c>
      <c r="C6" s="311">
        <v>218</v>
      </c>
      <c r="D6" s="311">
        <f t="shared" si="0"/>
        <v>9000</v>
      </c>
      <c r="E6" s="316">
        <f t="shared" ref="E6:E8" si="1">C6*60/D6</f>
        <v>1.4533333333333334</v>
      </c>
      <c r="F6" s="311" t="s">
        <v>290</v>
      </c>
      <c r="G6" s="311">
        <v>61</v>
      </c>
      <c r="H6" s="311">
        <v>51.3</v>
      </c>
      <c r="I6" s="311" t="s">
        <v>290</v>
      </c>
      <c r="J6" s="311">
        <v>25.6</v>
      </c>
      <c r="K6" s="311">
        <v>19.399999999999999</v>
      </c>
      <c r="L6" s="309" t="s">
        <v>3595</v>
      </c>
      <c r="M6" s="315">
        <v>599</v>
      </c>
      <c r="N6" s="309">
        <v>1</v>
      </c>
    </row>
    <row r="7" spans="1:15" ht="12.75" x14ac:dyDescent="0.25">
      <c r="A7" s="308" t="s">
        <v>3575</v>
      </c>
      <c r="B7" s="311">
        <v>400</v>
      </c>
      <c r="C7" s="311">
        <v>250</v>
      </c>
      <c r="D7" s="311">
        <f t="shared" si="0"/>
        <v>9000</v>
      </c>
      <c r="E7" s="316">
        <f t="shared" si="1"/>
        <v>1.6666666666666667</v>
      </c>
      <c r="F7" s="311" t="s">
        <v>290</v>
      </c>
      <c r="G7" s="311">
        <v>135</v>
      </c>
      <c r="H7" s="311">
        <v>66</v>
      </c>
      <c r="I7" s="311" t="s">
        <v>290</v>
      </c>
      <c r="J7" s="311">
        <v>50</v>
      </c>
      <c r="K7" s="311">
        <v>45</v>
      </c>
      <c r="L7" s="309" t="s">
        <v>3601</v>
      </c>
      <c r="M7" s="315">
        <v>994</v>
      </c>
      <c r="N7" s="309">
        <v>1</v>
      </c>
    </row>
    <row r="8" spans="1:15" ht="12.75" x14ac:dyDescent="0.25">
      <c r="A8" s="308" t="s">
        <v>3578</v>
      </c>
      <c r="B8" s="308">
        <v>560</v>
      </c>
      <c r="C8" s="311">
        <v>412</v>
      </c>
      <c r="D8" s="311">
        <f>30*30*10</f>
        <v>9000</v>
      </c>
      <c r="E8" s="316">
        <f t="shared" si="1"/>
        <v>2.7466666666666666</v>
      </c>
      <c r="F8" s="311" t="s">
        <v>290</v>
      </c>
      <c r="G8" s="311">
        <v>120</v>
      </c>
      <c r="H8" s="311">
        <v>62.3</v>
      </c>
      <c r="I8" s="311">
        <v>45.2</v>
      </c>
      <c r="J8" s="311">
        <v>28.1</v>
      </c>
      <c r="K8" s="311" t="s">
        <v>3581</v>
      </c>
      <c r="L8" s="309" t="s">
        <v>3599</v>
      </c>
      <c r="M8" s="315">
        <v>699</v>
      </c>
      <c r="N8" s="309">
        <v>1</v>
      </c>
      <c r="O8" s="308" t="s">
        <v>3582</v>
      </c>
    </row>
    <row r="9" spans="1:15" x14ac:dyDescent="0.25">
      <c r="E9" s="316"/>
      <c r="L9" s="309"/>
      <c r="M9" s="315"/>
    </row>
    <row r="10" spans="1:15" x14ac:dyDescent="0.25">
      <c r="A10" s="308" t="s">
        <v>3585</v>
      </c>
      <c r="B10" s="311" t="s">
        <v>290</v>
      </c>
      <c r="C10" s="311" t="s">
        <v>290</v>
      </c>
      <c r="E10" s="316"/>
      <c r="F10" s="311">
        <v>560</v>
      </c>
      <c r="G10" s="311">
        <v>95</v>
      </c>
      <c r="H10" s="311">
        <v>70</v>
      </c>
      <c r="I10" s="311" t="s">
        <v>290</v>
      </c>
      <c r="J10" s="311" t="s">
        <v>290</v>
      </c>
      <c r="K10" s="311">
        <v>33.5</v>
      </c>
      <c r="L10" s="309" t="s">
        <v>3596</v>
      </c>
      <c r="M10" s="315">
        <v>597</v>
      </c>
      <c r="N10" s="33">
        <v>2</v>
      </c>
      <c r="O10" s="308" t="s">
        <v>3589</v>
      </c>
    </row>
    <row r="11" spans="1:15" x14ac:dyDescent="0.25">
      <c r="A11" s="308" t="s">
        <v>3590</v>
      </c>
      <c r="B11" s="311" t="s">
        <v>290</v>
      </c>
      <c r="C11" s="311" t="s">
        <v>290</v>
      </c>
      <c r="E11" s="316"/>
      <c r="F11" s="311">
        <v>500</v>
      </c>
      <c r="G11" s="311">
        <v>100</v>
      </c>
      <c r="H11" s="311">
        <v>62</v>
      </c>
      <c r="I11" s="311" t="s">
        <v>290</v>
      </c>
      <c r="J11" s="311">
        <v>32</v>
      </c>
      <c r="K11" s="311">
        <v>31</v>
      </c>
      <c r="L11" s="309" t="s">
        <v>3597</v>
      </c>
      <c r="M11" s="315">
        <v>874</v>
      </c>
      <c r="N11" s="33">
        <v>2</v>
      </c>
      <c r="O11" s="308" t="s">
        <v>3591</v>
      </c>
    </row>
    <row r="12" spans="1:15" x14ac:dyDescent="0.25">
      <c r="A12" s="308" t="s">
        <v>3592</v>
      </c>
      <c r="B12" s="311" t="s">
        <v>290</v>
      </c>
      <c r="C12" s="311">
        <v>416</v>
      </c>
      <c r="D12" s="311">
        <f>30*30*10</f>
        <v>9000</v>
      </c>
      <c r="E12" s="316">
        <f>C12*60/D12</f>
        <v>2.7733333333333334</v>
      </c>
      <c r="F12" s="311" t="s">
        <v>290</v>
      </c>
      <c r="G12" s="311">
        <v>64</v>
      </c>
      <c r="H12" s="311">
        <v>43.2</v>
      </c>
      <c r="I12" s="311" t="s">
        <v>290</v>
      </c>
      <c r="J12" s="311" t="s">
        <v>290</v>
      </c>
      <c r="K12" s="311">
        <v>24.7</v>
      </c>
      <c r="L12" s="309" t="s">
        <v>3598</v>
      </c>
      <c r="M12" s="315">
        <v>569</v>
      </c>
      <c r="N12" s="33">
        <v>2</v>
      </c>
      <c r="O12" s="308" t="s">
        <v>3593</v>
      </c>
    </row>
    <row r="14" spans="1:15" x14ac:dyDescent="0.25">
      <c r="A14" s="311" t="s">
        <v>290</v>
      </c>
      <c r="B14" s="311" t="s">
        <v>290</v>
      </c>
      <c r="C14" s="311" t="s">
        <v>290</v>
      </c>
      <c r="F14" s="311" t="s">
        <v>290</v>
      </c>
      <c r="G14" s="311" t="s">
        <v>290</v>
      </c>
      <c r="H14" s="311" t="s">
        <v>290</v>
      </c>
      <c r="I14" s="311" t="s">
        <v>290</v>
      </c>
      <c r="J14" s="311" t="s">
        <v>290</v>
      </c>
      <c r="K14" s="311" t="s">
        <v>290</v>
      </c>
      <c r="L14" s="311" t="s">
        <v>290</v>
      </c>
      <c r="M14" s="311" t="s">
        <v>290</v>
      </c>
      <c r="N14" s="33">
        <v>3</v>
      </c>
      <c r="O14" s="308" t="s">
        <v>3602</v>
      </c>
    </row>
    <row r="15" spans="1:15" x14ac:dyDescent="0.25">
      <c r="A15" s="311" t="s">
        <v>3607</v>
      </c>
      <c r="B15" s="311"/>
      <c r="C15" s="311">
        <v>2000</v>
      </c>
      <c r="D15" s="311">
        <v>9000</v>
      </c>
      <c r="E15" s="316">
        <f>C15*60/D15</f>
        <v>13.333333333333334</v>
      </c>
      <c r="F15" s="311" t="s">
        <v>290</v>
      </c>
      <c r="G15" s="311">
        <f>8.5*122</f>
        <v>1037</v>
      </c>
      <c r="H15" s="311">
        <v>98</v>
      </c>
      <c r="I15" s="311" t="s">
        <v>290</v>
      </c>
      <c r="J15" s="311">
        <v>85</v>
      </c>
      <c r="K15" s="311">
        <v>112</v>
      </c>
      <c r="L15" s="309" t="s">
        <v>3609</v>
      </c>
      <c r="M15" s="315">
        <v>1099</v>
      </c>
      <c r="N15" s="33">
        <v>4</v>
      </c>
      <c r="O15" s="308" t="s">
        <v>3610</v>
      </c>
    </row>
    <row r="17" spans="1:1" x14ac:dyDescent="0.25">
      <c r="A17" s="308" t="s">
        <v>3579</v>
      </c>
    </row>
    <row r="18" spans="1:1" x14ac:dyDescent="0.25">
      <c r="A18" s="308" t="s">
        <v>3583</v>
      </c>
    </row>
    <row r="19" spans="1:1" x14ac:dyDescent="0.25">
      <c r="A19" s="308" t="s">
        <v>3584</v>
      </c>
    </row>
    <row r="20" spans="1:1" x14ac:dyDescent="0.25">
      <c r="A20" s="308" t="s">
        <v>3608</v>
      </c>
    </row>
    <row r="22" spans="1:1" x14ac:dyDescent="0.25">
      <c r="A22" s="308" t="s">
        <v>3605</v>
      </c>
    </row>
    <row r="23" spans="1:1" x14ac:dyDescent="0.25">
      <c r="A23" s="308" t="s">
        <v>3604</v>
      </c>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D1D55-D021-405D-9959-9E72C98F4433}">
  <dimension ref="A1:U110"/>
  <sheetViews>
    <sheetView topLeftCell="A21" workbookViewId="0">
      <selection activeCell="H32" sqref="H32"/>
    </sheetView>
  </sheetViews>
  <sheetFormatPr defaultRowHeight="15" x14ac:dyDescent="0.25"/>
  <cols>
    <col min="1" max="1" width="19.85546875" customWidth="1"/>
    <col min="3" max="3" width="32.5703125" customWidth="1"/>
    <col min="6" max="6" width="9.5703125" bestFit="1" customWidth="1"/>
    <col min="9" max="9" width="29.85546875" customWidth="1"/>
    <col min="10" max="10" width="7.28515625" customWidth="1"/>
    <col min="11" max="11" width="8.42578125" bestFit="1" customWidth="1"/>
    <col min="12" max="12" width="7.5703125" bestFit="1" customWidth="1"/>
    <col min="15" max="15" width="6.7109375" bestFit="1" customWidth="1"/>
    <col min="16" max="16" width="8.42578125" bestFit="1" customWidth="1"/>
    <col min="17" max="17" width="6.5703125" bestFit="1" customWidth="1"/>
    <col min="18" max="18" width="9.140625" bestFit="1" customWidth="1"/>
    <col min="19" max="19" width="8.28515625" bestFit="1" customWidth="1"/>
    <col min="20" max="20" width="6.5703125" bestFit="1" customWidth="1"/>
    <col min="21" max="21" width="10.140625" bestFit="1" customWidth="1"/>
  </cols>
  <sheetData>
    <row r="1" spans="1:5" x14ac:dyDescent="0.25">
      <c r="A1" s="31" t="s">
        <v>4547</v>
      </c>
      <c r="D1" s="33"/>
    </row>
    <row r="2" spans="1:5" x14ac:dyDescent="0.25">
      <c r="A2" s="31" t="s">
        <v>4540</v>
      </c>
      <c r="D2" s="33"/>
    </row>
    <row r="3" spans="1:5" ht="30" x14ac:dyDescent="0.25">
      <c r="A3" s="28"/>
      <c r="B3" s="355" t="s">
        <v>4544</v>
      </c>
      <c r="C3" s="28" t="s">
        <v>4545</v>
      </c>
      <c r="D3" s="33"/>
      <c r="E3" s="28" t="s">
        <v>1464</v>
      </c>
    </row>
    <row r="4" spans="1:5" x14ac:dyDescent="0.25">
      <c r="B4" s="87">
        <v>1</v>
      </c>
      <c r="C4" t="s">
        <v>4548</v>
      </c>
      <c r="D4" s="33"/>
      <c r="E4" s="28" t="s">
        <v>1450</v>
      </c>
    </row>
    <row r="5" spans="1:5" x14ac:dyDescent="0.25">
      <c r="B5" s="30">
        <v>6</v>
      </c>
      <c r="C5" t="s">
        <v>4549</v>
      </c>
      <c r="D5" s="33"/>
      <c r="E5" s="28" t="s">
        <v>1441</v>
      </c>
    </row>
    <row r="6" spans="1:5" x14ac:dyDescent="0.25">
      <c r="B6" s="30">
        <v>7</v>
      </c>
      <c r="C6" t="s">
        <v>4550</v>
      </c>
      <c r="D6" s="33"/>
      <c r="E6" s="28" t="s">
        <v>1443</v>
      </c>
    </row>
    <row r="7" spans="1:5" x14ac:dyDescent="0.25">
      <c r="B7" s="30">
        <v>24</v>
      </c>
      <c r="C7" t="s">
        <v>4551</v>
      </c>
      <c r="D7" s="33"/>
      <c r="E7" s="28" t="s">
        <v>1443</v>
      </c>
    </row>
    <row r="8" spans="1:5" x14ac:dyDescent="0.25">
      <c r="B8" s="30">
        <v>27</v>
      </c>
      <c r="C8" t="s">
        <v>4552</v>
      </c>
      <c r="D8" s="33"/>
      <c r="E8" s="28" t="s">
        <v>1444</v>
      </c>
    </row>
    <row r="9" spans="1:5" x14ac:dyDescent="0.25">
      <c r="B9" s="30">
        <v>88</v>
      </c>
      <c r="C9" t="s">
        <v>4553</v>
      </c>
      <c r="D9" s="33"/>
      <c r="E9" s="28" t="s">
        <v>1445</v>
      </c>
    </row>
    <row r="10" spans="1:5" x14ac:dyDescent="0.25">
      <c r="B10" s="30">
        <v>92</v>
      </c>
      <c r="C10" t="s">
        <v>4554</v>
      </c>
      <c r="D10" s="33"/>
      <c r="E10" s="28" t="s">
        <v>1442</v>
      </c>
    </row>
    <row r="11" spans="1:5" x14ac:dyDescent="0.25">
      <c r="B11" s="30">
        <v>106</v>
      </c>
      <c r="C11" t="s">
        <v>4555</v>
      </c>
      <c r="D11" s="33"/>
      <c r="E11" s="28" t="s">
        <v>1446</v>
      </c>
    </row>
    <row r="12" spans="1:5" x14ac:dyDescent="0.25">
      <c r="B12" s="30">
        <v>107</v>
      </c>
      <c r="C12" t="s">
        <v>4573</v>
      </c>
      <c r="D12" s="33"/>
      <c r="E12" s="28" t="s">
        <v>1446</v>
      </c>
    </row>
    <row r="13" spans="1:5" x14ac:dyDescent="0.25">
      <c r="B13" s="30">
        <v>289</v>
      </c>
      <c r="C13" t="s">
        <v>4556</v>
      </c>
      <c r="D13" s="33"/>
      <c r="E13" s="28" t="s">
        <v>1447</v>
      </c>
    </row>
    <row r="14" spans="1:5" x14ac:dyDescent="0.25">
      <c r="B14" s="30">
        <v>543</v>
      </c>
      <c r="C14" t="s">
        <v>4574</v>
      </c>
      <c r="D14" s="33"/>
      <c r="E14" s="28" t="s">
        <v>1448</v>
      </c>
    </row>
    <row r="15" spans="1:5" x14ac:dyDescent="0.25">
      <c r="B15" s="30">
        <v>899</v>
      </c>
      <c r="C15" t="s">
        <v>4557</v>
      </c>
      <c r="D15" s="33"/>
      <c r="E15" s="28" t="s">
        <v>1449</v>
      </c>
    </row>
    <row r="16" spans="1:5" x14ac:dyDescent="0.25">
      <c r="B16" s="30">
        <v>1128</v>
      </c>
      <c r="C16" t="s">
        <v>4558</v>
      </c>
      <c r="D16" s="33"/>
    </row>
    <row r="17" spans="1:9" x14ac:dyDescent="0.25">
      <c r="B17" s="30">
        <v>1547</v>
      </c>
      <c r="C17" t="s">
        <v>4559</v>
      </c>
      <c r="D17" s="33"/>
    </row>
    <row r="18" spans="1:9" x14ac:dyDescent="0.25">
      <c r="B18" s="30">
        <v>2535</v>
      </c>
      <c r="C18" t="s">
        <v>4560</v>
      </c>
      <c r="D18" s="33"/>
    </row>
    <row r="19" spans="1:9" x14ac:dyDescent="0.25">
      <c r="B19" s="30">
        <v>3825</v>
      </c>
      <c r="C19" t="s">
        <v>4561</v>
      </c>
      <c r="D19" s="33"/>
    </row>
    <row r="20" spans="1:9" x14ac:dyDescent="0.25">
      <c r="B20" s="30">
        <v>8248</v>
      </c>
      <c r="C20" t="s">
        <v>4562</v>
      </c>
      <c r="D20" s="33"/>
    </row>
    <row r="21" spans="1:9" x14ac:dyDescent="0.25">
      <c r="B21" s="30">
        <v>8571</v>
      </c>
      <c r="C21" t="s">
        <v>4563</v>
      </c>
      <c r="D21" s="33"/>
    </row>
    <row r="22" spans="1:9" x14ac:dyDescent="0.25">
      <c r="B22" s="30">
        <v>13394</v>
      </c>
      <c r="C22" t="s">
        <v>4564</v>
      </c>
      <c r="D22" s="33"/>
    </row>
    <row r="23" spans="1:9" x14ac:dyDescent="0.25">
      <c r="B23" s="30">
        <v>29334</v>
      </c>
      <c r="C23" t="s">
        <v>4565</v>
      </c>
      <c r="D23" s="33"/>
    </row>
    <row r="24" spans="1:9" x14ac:dyDescent="0.25">
      <c r="B24" s="30">
        <v>58669</v>
      </c>
      <c r="C24" t="s">
        <v>4566</v>
      </c>
      <c r="D24" s="33"/>
    </row>
    <row r="25" spans="1:9" x14ac:dyDescent="0.25">
      <c r="B25" s="30">
        <v>59507</v>
      </c>
      <c r="C25" t="s">
        <v>4567</v>
      </c>
      <c r="D25" s="33"/>
    </row>
    <row r="26" spans="1:9" x14ac:dyDescent="0.25">
      <c r="B26" s="30">
        <v>63113</v>
      </c>
      <c r="C26" t="s">
        <v>4568</v>
      </c>
      <c r="D26" s="33"/>
    </row>
    <row r="27" spans="1:9" x14ac:dyDescent="0.25">
      <c r="B27" s="30">
        <v>86781</v>
      </c>
      <c r="C27" t="s">
        <v>4569</v>
      </c>
      <c r="D27" s="33"/>
    </row>
    <row r="28" spans="1:9" x14ac:dyDescent="0.25">
      <c r="B28" s="30">
        <v>138849</v>
      </c>
      <c r="C28" t="s">
        <v>4575</v>
      </c>
      <c r="D28" s="33"/>
    </row>
    <row r="29" spans="1:9" x14ac:dyDescent="0.25">
      <c r="D29" s="33"/>
    </row>
    <row r="30" spans="1:9" x14ac:dyDescent="0.25">
      <c r="B30" s="30"/>
      <c r="C30" s="30"/>
      <c r="D30" s="89"/>
      <c r="E30" s="48"/>
      <c r="F30" s="76"/>
      <c r="G30" s="34"/>
      <c r="H30" s="354"/>
      <c r="I30" s="30"/>
    </row>
    <row r="31" spans="1:9" x14ac:dyDescent="0.25">
      <c r="A31" t="s">
        <v>4577</v>
      </c>
      <c r="H31" s="88">
        <v>0.02</v>
      </c>
      <c r="I31" t="s">
        <v>4591</v>
      </c>
    </row>
    <row r="32" spans="1:9" ht="45" x14ac:dyDescent="0.25">
      <c r="A32" s="79" t="s">
        <v>1469</v>
      </c>
      <c r="B32" s="42" t="s">
        <v>4544</v>
      </c>
      <c r="C32" s="42" t="s">
        <v>3434</v>
      </c>
      <c r="E32" s="358" t="s">
        <v>1776</v>
      </c>
      <c r="F32" s="358" t="s">
        <v>4570</v>
      </c>
      <c r="G32" s="42" t="s">
        <v>1495</v>
      </c>
      <c r="H32" s="42" t="s">
        <v>4592</v>
      </c>
      <c r="I32" s="358"/>
    </row>
    <row r="33" spans="1:9" x14ac:dyDescent="0.25">
      <c r="A33" t="s">
        <v>4582</v>
      </c>
      <c r="B33" s="30">
        <f t="shared" ref="B33:B42" si="0">1/(H33)</f>
        <v>50</v>
      </c>
      <c r="C33" s="30" t="str">
        <f>VLOOKUP(B33,B$4:C$28, 2)</f>
        <v>4. Chronic lower respiratory disease</v>
      </c>
      <c r="E33" s="359">
        <v>0</v>
      </c>
      <c r="F33" s="360">
        <v>1</v>
      </c>
      <c r="G33" s="34">
        <f t="shared" ref="G33:G42" si="1">F33</f>
        <v>1</v>
      </c>
      <c r="H33" s="354">
        <f>G33*H$31</f>
        <v>0.02</v>
      </c>
      <c r="I33" s="359"/>
    </row>
    <row r="34" spans="1:9" x14ac:dyDescent="0.25">
      <c r="A34" t="s">
        <v>4582</v>
      </c>
      <c r="B34" s="30">
        <f t="shared" si="0"/>
        <v>79.365079365079367</v>
      </c>
      <c r="C34" s="30" t="str">
        <f t="shared" ref="C34:C42" si="2">VLOOKUP(B34,B$4:C$28, 2)</f>
        <v>4. Chronic lower respiratory disease</v>
      </c>
      <c r="E34" s="359">
        <v>1</v>
      </c>
      <c r="F34" s="361">
        <v>0.63</v>
      </c>
      <c r="G34" s="34">
        <f t="shared" si="1"/>
        <v>0.63</v>
      </c>
      <c r="H34" s="354">
        <f t="shared" ref="H34:H42" si="3">G34*H$31</f>
        <v>1.26E-2</v>
      </c>
      <c r="I34" s="359"/>
    </row>
    <row r="35" spans="1:9" x14ac:dyDescent="0.25">
      <c r="A35" t="s">
        <v>4582</v>
      </c>
      <c r="B35" s="30">
        <f t="shared" si="0"/>
        <v>125</v>
      </c>
      <c r="C35" s="30" t="str">
        <f t="shared" si="2"/>
        <v>8. Motor vehicle crash</v>
      </c>
      <c r="E35" s="359">
        <v>2</v>
      </c>
      <c r="F35" s="361">
        <v>0.4</v>
      </c>
      <c r="G35" s="34">
        <f t="shared" si="1"/>
        <v>0.4</v>
      </c>
      <c r="H35" s="354">
        <f t="shared" si="3"/>
        <v>8.0000000000000002E-3</v>
      </c>
      <c r="I35" s="359"/>
    </row>
    <row r="36" spans="1:9" x14ac:dyDescent="0.25">
      <c r="A36" t="s">
        <v>4582</v>
      </c>
      <c r="B36" s="30">
        <f t="shared" si="0"/>
        <v>312.5</v>
      </c>
      <c r="C36" s="30" t="str">
        <f t="shared" si="2"/>
        <v>9. Gun assault</v>
      </c>
      <c r="E36" s="359">
        <v>4</v>
      </c>
      <c r="F36" s="361">
        <v>0.16</v>
      </c>
      <c r="G36" s="34">
        <f t="shared" si="1"/>
        <v>0.16</v>
      </c>
      <c r="H36" s="354">
        <f t="shared" si="3"/>
        <v>3.2000000000000002E-3</v>
      </c>
      <c r="I36" s="359"/>
    </row>
    <row r="37" spans="1:9" x14ac:dyDescent="0.25">
      <c r="A37" t="s">
        <v>4582</v>
      </c>
      <c r="B37" s="30">
        <f t="shared" si="0"/>
        <v>833.33333333333337</v>
      </c>
      <c r="C37" s="30" t="str">
        <f t="shared" si="2"/>
        <v>10. Pedestrian incident</v>
      </c>
      <c r="E37" s="359">
        <v>6</v>
      </c>
      <c r="F37" s="361">
        <v>0.06</v>
      </c>
      <c r="G37" s="34">
        <f t="shared" si="1"/>
        <v>0.06</v>
      </c>
      <c r="H37" s="354">
        <f t="shared" si="3"/>
        <v>1.1999999999999999E-3</v>
      </c>
      <c r="I37" s="359"/>
    </row>
    <row r="38" spans="1:9" x14ac:dyDescent="0.25">
      <c r="A38" t="s">
        <v>4582</v>
      </c>
      <c r="B38" s="30">
        <f t="shared" si="0"/>
        <v>2500</v>
      </c>
      <c r="C38" s="30" t="str">
        <f t="shared" si="2"/>
        <v>13. Fire or smoke</v>
      </c>
      <c r="E38" s="359">
        <v>8</v>
      </c>
      <c r="F38" s="361">
        <v>0.02</v>
      </c>
      <c r="G38" s="34">
        <f t="shared" si="1"/>
        <v>0.02</v>
      </c>
      <c r="H38" s="354">
        <f t="shared" si="3"/>
        <v>4.0000000000000002E-4</v>
      </c>
      <c r="I38" s="359"/>
    </row>
    <row r="39" spans="1:9" x14ac:dyDescent="0.25">
      <c r="A39" t="s">
        <v>4582</v>
      </c>
      <c r="B39" s="30">
        <f t="shared" si="0"/>
        <v>5000</v>
      </c>
      <c r="C39" s="30" t="str">
        <f t="shared" si="2"/>
        <v>15. Bicyclist</v>
      </c>
      <c r="E39" s="359">
        <v>10</v>
      </c>
      <c r="F39" s="361">
        <v>0.01</v>
      </c>
      <c r="G39" s="34">
        <f t="shared" si="1"/>
        <v>0.01</v>
      </c>
      <c r="H39" s="354">
        <f t="shared" si="3"/>
        <v>2.0000000000000001E-4</v>
      </c>
      <c r="I39" s="359"/>
    </row>
    <row r="40" spans="1:9" x14ac:dyDescent="0.25">
      <c r="A40" t="s">
        <v>4582</v>
      </c>
      <c r="B40" s="30">
        <f t="shared" si="0"/>
        <v>12820.51282051282</v>
      </c>
      <c r="C40" s="30" t="str">
        <f t="shared" si="2"/>
        <v>17. Accidental gun discharge</v>
      </c>
      <c r="E40" s="359">
        <v>12</v>
      </c>
      <c r="F40" s="362">
        <v>3.8999999999999998E-3</v>
      </c>
      <c r="G40" s="34">
        <f t="shared" si="1"/>
        <v>3.8999999999999998E-3</v>
      </c>
      <c r="H40" s="354">
        <f t="shared" si="3"/>
        <v>7.7999999999999999E-5</v>
      </c>
      <c r="I40" s="359"/>
    </row>
    <row r="41" spans="1:9" x14ac:dyDescent="0.25">
      <c r="A41" t="s">
        <v>4582</v>
      </c>
      <c r="B41" s="30">
        <f t="shared" si="0"/>
        <v>49999.999999999993</v>
      </c>
      <c r="C41" s="30" t="str">
        <f t="shared" si="2"/>
        <v>19. Sharp objects</v>
      </c>
      <c r="E41" s="359">
        <v>15</v>
      </c>
      <c r="F41" s="362">
        <v>1E-3</v>
      </c>
      <c r="G41" s="34">
        <f t="shared" si="1"/>
        <v>1E-3</v>
      </c>
      <c r="H41" s="354">
        <f t="shared" si="3"/>
        <v>2.0000000000000002E-5</v>
      </c>
      <c r="I41" s="359"/>
    </row>
    <row r="42" spans="1:9" x14ac:dyDescent="0.25">
      <c r="A42" t="s">
        <v>4582</v>
      </c>
      <c r="B42" s="30">
        <f t="shared" si="0"/>
        <v>499999.99999999994</v>
      </c>
      <c r="C42" s="30" t="str">
        <f t="shared" si="2"/>
        <v>24. Lightning</v>
      </c>
      <c r="E42" s="359">
        <v>20</v>
      </c>
      <c r="F42" s="362">
        <v>1E-4</v>
      </c>
      <c r="G42" s="34">
        <f t="shared" si="1"/>
        <v>1E-4</v>
      </c>
      <c r="H42" s="354">
        <f t="shared" si="3"/>
        <v>2.0000000000000003E-6</v>
      </c>
      <c r="I42" s="359"/>
    </row>
    <row r="43" spans="1:9" x14ac:dyDescent="0.25">
      <c r="B43" s="30"/>
      <c r="C43" s="30"/>
      <c r="E43" s="358">
        <v>50</v>
      </c>
      <c r="F43" s="363" t="s">
        <v>290</v>
      </c>
      <c r="G43" s="359"/>
      <c r="H43" s="360"/>
      <c r="I43" s="359"/>
    </row>
    <row r="44" spans="1:9" x14ac:dyDescent="0.25">
      <c r="A44" t="s">
        <v>4572</v>
      </c>
    </row>
    <row r="45" spans="1:9" ht="75" x14ac:dyDescent="0.25">
      <c r="A45" s="79" t="s">
        <v>1469</v>
      </c>
      <c r="B45" s="42" t="s">
        <v>4544</v>
      </c>
      <c r="C45" s="42" t="s">
        <v>3434</v>
      </c>
      <c r="E45" s="358" t="s">
        <v>1776</v>
      </c>
      <c r="F45" s="358" t="s">
        <v>4571</v>
      </c>
      <c r="G45" s="42" t="s">
        <v>1495</v>
      </c>
      <c r="H45" s="42" t="s">
        <v>4592</v>
      </c>
    </row>
    <row r="46" spans="1:9" x14ac:dyDescent="0.25">
      <c r="A46" t="s">
        <v>4582</v>
      </c>
      <c r="B46" s="30">
        <f t="shared" ref="B46:B56" si="4">1/(H46)</f>
        <v>50</v>
      </c>
      <c r="C46" s="30" t="str">
        <f>VLOOKUP(B46,B$4:C$28, 2)</f>
        <v>4. Chronic lower respiratory disease</v>
      </c>
      <c r="E46" s="359">
        <v>0</v>
      </c>
      <c r="F46" s="360">
        <v>1</v>
      </c>
      <c r="G46" s="34">
        <f t="shared" ref="G46:G56" si="5">F46</f>
        <v>1</v>
      </c>
      <c r="H46" s="354">
        <f t="shared" ref="H46:H56" si="6">G46*H$31</f>
        <v>0.02</v>
      </c>
    </row>
    <row r="47" spans="1:9" x14ac:dyDescent="0.25">
      <c r="A47" t="s">
        <v>4582</v>
      </c>
      <c r="B47" s="30">
        <f t="shared" si="4"/>
        <v>50</v>
      </c>
      <c r="C47" s="30" t="str">
        <f t="shared" ref="C47:C56" si="7">VLOOKUP(B47,B$4:C$28, 2)</f>
        <v>4. Chronic lower respiratory disease</v>
      </c>
      <c r="E47" s="359">
        <v>1</v>
      </c>
      <c r="F47" s="360">
        <v>1</v>
      </c>
      <c r="G47" s="34">
        <f t="shared" si="5"/>
        <v>1</v>
      </c>
      <c r="H47" s="354">
        <f t="shared" si="6"/>
        <v>0.02</v>
      </c>
    </row>
    <row r="48" spans="1:9" x14ac:dyDescent="0.25">
      <c r="A48" t="s">
        <v>4582</v>
      </c>
      <c r="B48" s="30">
        <f t="shared" si="4"/>
        <v>100</v>
      </c>
      <c r="C48" s="30" t="str">
        <f t="shared" si="7"/>
        <v>6. Opioid overdose</v>
      </c>
      <c r="E48" s="359">
        <v>2</v>
      </c>
      <c r="F48" s="360">
        <v>0.5</v>
      </c>
      <c r="G48" s="34">
        <f t="shared" si="5"/>
        <v>0.5</v>
      </c>
      <c r="H48" s="354">
        <f t="shared" si="6"/>
        <v>0.01</v>
      </c>
    </row>
    <row r="49" spans="1:21" x14ac:dyDescent="0.25">
      <c r="A49" t="s">
        <v>4582</v>
      </c>
      <c r="B49" s="30">
        <f t="shared" si="4"/>
        <v>200</v>
      </c>
      <c r="C49" s="30" t="str">
        <f t="shared" si="7"/>
        <v>8. Motor vehicle crash</v>
      </c>
      <c r="E49" s="359">
        <v>4</v>
      </c>
      <c r="F49" s="360">
        <v>0.25</v>
      </c>
      <c r="G49" s="34">
        <f t="shared" si="5"/>
        <v>0.25</v>
      </c>
      <c r="H49" s="354">
        <f t="shared" si="6"/>
        <v>5.0000000000000001E-3</v>
      </c>
    </row>
    <row r="50" spans="1:21" x14ac:dyDescent="0.25">
      <c r="A50" t="s">
        <v>4582</v>
      </c>
      <c r="B50" s="30">
        <f t="shared" si="4"/>
        <v>294.11764705882354</v>
      </c>
      <c r="C50" s="30" t="str">
        <f t="shared" si="7"/>
        <v>9. Gun assault</v>
      </c>
      <c r="E50" s="359">
        <v>6</v>
      </c>
      <c r="F50" s="360">
        <v>0.17</v>
      </c>
      <c r="G50" s="34">
        <f t="shared" si="5"/>
        <v>0.17</v>
      </c>
      <c r="H50" s="354">
        <f t="shared" si="6"/>
        <v>3.4000000000000002E-3</v>
      </c>
    </row>
    <row r="51" spans="1:21" x14ac:dyDescent="0.25">
      <c r="A51" t="s">
        <v>4582</v>
      </c>
      <c r="B51" s="30">
        <f t="shared" si="4"/>
        <v>384.61538461538458</v>
      </c>
      <c r="C51" s="30" t="str">
        <f t="shared" si="7"/>
        <v>9. Gun assault</v>
      </c>
      <c r="E51" s="359">
        <v>8</v>
      </c>
      <c r="F51" s="360">
        <v>0.13</v>
      </c>
      <c r="G51" s="34">
        <f t="shared" si="5"/>
        <v>0.13</v>
      </c>
      <c r="H51" s="354">
        <f t="shared" si="6"/>
        <v>2.6000000000000003E-3</v>
      </c>
    </row>
    <row r="52" spans="1:21" x14ac:dyDescent="0.25">
      <c r="A52" t="s">
        <v>4582</v>
      </c>
      <c r="B52" s="30">
        <f t="shared" si="4"/>
        <v>500</v>
      </c>
      <c r="C52" s="30" t="str">
        <f t="shared" si="7"/>
        <v>9. Gun assault</v>
      </c>
      <c r="E52" s="359">
        <v>10</v>
      </c>
      <c r="F52" s="360">
        <v>0.1</v>
      </c>
      <c r="G52" s="34">
        <f t="shared" si="5"/>
        <v>0.1</v>
      </c>
      <c r="H52" s="354">
        <f t="shared" si="6"/>
        <v>2E-3</v>
      </c>
    </row>
    <row r="53" spans="1:21" x14ac:dyDescent="0.25">
      <c r="A53" t="s">
        <v>4582</v>
      </c>
      <c r="B53" s="30">
        <f t="shared" si="4"/>
        <v>625</v>
      </c>
      <c r="C53" s="30" t="str">
        <f t="shared" si="7"/>
        <v>10. Pedestrian incident</v>
      </c>
      <c r="E53" s="359">
        <v>12</v>
      </c>
      <c r="F53" s="360">
        <v>0.08</v>
      </c>
      <c r="G53" s="34">
        <f t="shared" si="5"/>
        <v>0.08</v>
      </c>
      <c r="H53" s="354">
        <f t="shared" si="6"/>
        <v>1.6000000000000001E-3</v>
      </c>
    </row>
    <row r="54" spans="1:21" x14ac:dyDescent="0.25">
      <c r="A54" t="s">
        <v>4582</v>
      </c>
      <c r="B54" s="30">
        <f t="shared" si="4"/>
        <v>714.28571428571422</v>
      </c>
      <c r="C54" s="30" t="str">
        <f t="shared" si="7"/>
        <v>10. Pedestrian incident</v>
      </c>
      <c r="E54" s="359">
        <v>15</v>
      </c>
      <c r="F54" s="360">
        <v>7.0000000000000007E-2</v>
      </c>
      <c r="G54" s="34">
        <f t="shared" si="5"/>
        <v>7.0000000000000007E-2</v>
      </c>
      <c r="H54" s="354">
        <f t="shared" si="6"/>
        <v>1.4000000000000002E-3</v>
      </c>
    </row>
    <row r="55" spans="1:21" x14ac:dyDescent="0.25">
      <c r="A55" t="s">
        <v>4582</v>
      </c>
      <c r="B55" s="30">
        <f t="shared" si="4"/>
        <v>1000</v>
      </c>
      <c r="C55" s="30" t="str">
        <f t="shared" si="7"/>
        <v>11. Motorcyclist</v>
      </c>
      <c r="E55" s="359">
        <v>20</v>
      </c>
      <c r="F55" s="360">
        <v>0.05</v>
      </c>
      <c r="G55" s="34">
        <f t="shared" si="5"/>
        <v>0.05</v>
      </c>
      <c r="H55" s="354">
        <f t="shared" si="6"/>
        <v>1E-3</v>
      </c>
    </row>
    <row r="56" spans="1:21" x14ac:dyDescent="0.25">
      <c r="A56" t="s">
        <v>4582</v>
      </c>
      <c r="B56" s="30">
        <f t="shared" si="4"/>
        <v>2500</v>
      </c>
      <c r="C56" s="30" t="str">
        <f t="shared" si="7"/>
        <v>13. Fire or smoke</v>
      </c>
      <c r="E56" s="358">
        <v>50</v>
      </c>
      <c r="F56" s="360">
        <v>0.02</v>
      </c>
      <c r="G56" s="34">
        <f t="shared" si="5"/>
        <v>0.02</v>
      </c>
      <c r="H56" s="354">
        <f t="shared" si="6"/>
        <v>4.0000000000000002E-4</v>
      </c>
    </row>
    <row r="58" spans="1:21" x14ac:dyDescent="0.25">
      <c r="A58" t="s">
        <v>4576</v>
      </c>
    </row>
    <row r="60" spans="1:21" s="2" customFormat="1" ht="45" x14ac:dyDescent="0.25">
      <c r="A60" s="79" t="s">
        <v>1469</v>
      </c>
      <c r="B60" s="42" t="s">
        <v>4544</v>
      </c>
      <c r="C60" s="42" t="s">
        <v>3434</v>
      </c>
      <c r="D60" s="42"/>
      <c r="E60" s="42" t="s">
        <v>861</v>
      </c>
      <c r="F60" s="42" t="s">
        <v>1455</v>
      </c>
      <c r="G60" s="42" t="s">
        <v>1495</v>
      </c>
      <c r="H60" s="42" t="s">
        <v>4592</v>
      </c>
      <c r="I60" s="42" t="s">
        <v>275</v>
      </c>
      <c r="J60" s="42" t="s">
        <v>1476</v>
      </c>
      <c r="K60" s="86" t="s">
        <v>4546</v>
      </c>
      <c r="L60" s="42" t="s">
        <v>1460</v>
      </c>
      <c r="M60" s="42" t="s">
        <v>1470</v>
      </c>
      <c r="N60" s="42" t="s">
        <v>1458</v>
      </c>
      <c r="O60" s="42" t="s">
        <v>1456</v>
      </c>
      <c r="P60" s="42" t="s">
        <v>1475</v>
      </c>
      <c r="Q60" s="42" t="s">
        <v>1453</v>
      </c>
      <c r="R60" s="42" t="s">
        <v>1457</v>
      </c>
      <c r="S60" s="42" t="s">
        <v>1467</v>
      </c>
      <c r="T60" s="42" t="s">
        <v>275</v>
      </c>
      <c r="U60" s="42" t="s">
        <v>1459</v>
      </c>
    </row>
    <row r="61" spans="1:21" x14ac:dyDescent="0.25">
      <c r="A61" t="s">
        <v>3832</v>
      </c>
      <c r="B61" s="30">
        <f t="shared" ref="B61:B71" si="8">1/(H61)</f>
        <v>50</v>
      </c>
      <c r="C61" s="30" t="str">
        <f t="shared" ref="C61:C71" si="9">VLOOKUP(B61,B$4:C$28, 2)</f>
        <v>4. Chronic lower respiratory disease</v>
      </c>
      <c r="D61" s="30"/>
      <c r="E61" s="48">
        <v>1E-4</v>
      </c>
      <c r="F61" s="76">
        <f t="shared" ref="F61:F71" si="10">(1-EXP(-Q61/R61))</f>
        <v>1</v>
      </c>
      <c r="G61" s="34">
        <f t="shared" ref="G61:G71" si="11">F61</f>
        <v>1</v>
      </c>
      <c r="H61" s="354">
        <f t="shared" ref="H61:H71" si="12">G61*H$31</f>
        <v>0.02</v>
      </c>
      <c r="I61" s="89" t="s">
        <v>239</v>
      </c>
      <c r="J61">
        <f t="shared" ref="J61:J71" si="13">P61/3600</f>
        <v>1</v>
      </c>
      <c r="K61" s="31">
        <v>1</v>
      </c>
      <c r="L61" s="29">
        <v>10800</v>
      </c>
      <c r="M61" s="30" t="s">
        <v>1472</v>
      </c>
      <c r="N61" s="28">
        <v>366</v>
      </c>
      <c r="O61" s="77">
        <v>0.02</v>
      </c>
      <c r="P61" s="28">
        <v>3600</v>
      </c>
      <c r="Q61" s="30">
        <v>26352</v>
      </c>
      <c r="R61" s="30">
        <f t="shared" ref="R61:R71" si="14">U61*12*12*12/3600</f>
        <v>0.51840000000000008</v>
      </c>
      <c r="S61" s="77" t="s">
        <v>1468</v>
      </c>
      <c r="T61" s="89" t="s">
        <v>239</v>
      </c>
      <c r="U61" s="30">
        <f t="shared" ref="U61:U71" si="15">L61*E61</f>
        <v>1.08</v>
      </c>
    </row>
    <row r="62" spans="1:21" x14ac:dyDescent="0.25">
      <c r="A62" t="s">
        <v>3832</v>
      </c>
      <c r="B62" s="30">
        <f t="shared" si="8"/>
        <v>50.311894021824635</v>
      </c>
      <c r="C62" s="30" t="str">
        <f t="shared" si="9"/>
        <v>4. Chronic lower respiratory disease</v>
      </c>
      <c r="D62" s="30"/>
      <c r="E62" s="48">
        <v>1</v>
      </c>
      <c r="F62" s="76">
        <f t="shared" si="10"/>
        <v>0.99380078949742301</v>
      </c>
      <c r="G62" s="34">
        <f t="shared" si="11"/>
        <v>0.99380078949742301</v>
      </c>
      <c r="H62" s="354">
        <f t="shared" si="12"/>
        <v>1.9876015789948461E-2</v>
      </c>
      <c r="I62" s="89" t="s">
        <v>239</v>
      </c>
      <c r="J62">
        <f t="shared" si="13"/>
        <v>1</v>
      </c>
      <c r="K62" s="31">
        <v>1</v>
      </c>
      <c r="L62" s="29">
        <v>10800</v>
      </c>
      <c r="M62" s="30" t="s">
        <v>1472</v>
      </c>
      <c r="N62" s="28">
        <v>366</v>
      </c>
      <c r="O62" s="77">
        <v>0.02</v>
      </c>
      <c r="P62" s="28">
        <v>3600</v>
      </c>
      <c r="Q62" s="30">
        <v>26352</v>
      </c>
      <c r="R62" s="30">
        <f t="shared" si="14"/>
        <v>5184</v>
      </c>
      <c r="S62" s="77" t="s">
        <v>1468</v>
      </c>
      <c r="T62" s="89" t="s">
        <v>239</v>
      </c>
      <c r="U62" s="30">
        <f t="shared" si="15"/>
        <v>10800</v>
      </c>
    </row>
    <row r="63" spans="1:21" x14ac:dyDescent="0.25">
      <c r="A63" t="s">
        <v>3832</v>
      </c>
      <c r="B63" s="30">
        <f t="shared" si="8"/>
        <v>54.27320428133244</v>
      </c>
      <c r="C63" s="30" t="str">
        <f t="shared" si="9"/>
        <v>4. Chronic lower respiratory disease</v>
      </c>
      <c r="D63" s="30"/>
      <c r="E63" s="48">
        <v>2</v>
      </c>
      <c r="F63" s="76">
        <f t="shared" si="10"/>
        <v>0.92126493473313809</v>
      </c>
      <c r="G63" s="34">
        <f t="shared" si="11"/>
        <v>0.92126493473313809</v>
      </c>
      <c r="H63" s="354">
        <f t="shared" si="12"/>
        <v>1.8425298694662761E-2</v>
      </c>
      <c r="I63" s="89" t="s">
        <v>239</v>
      </c>
      <c r="J63">
        <f t="shared" si="13"/>
        <v>1</v>
      </c>
      <c r="K63" s="31">
        <v>1</v>
      </c>
      <c r="L63" s="29">
        <v>10800</v>
      </c>
      <c r="M63" s="30" t="s">
        <v>1472</v>
      </c>
      <c r="N63" s="28">
        <v>366</v>
      </c>
      <c r="O63" s="77">
        <v>0.02</v>
      </c>
      <c r="P63" s="28">
        <v>3600</v>
      </c>
      <c r="Q63" s="30">
        <v>26352</v>
      </c>
      <c r="R63" s="30">
        <f t="shared" si="14"/>
        <v>10368</v>
      </c>
      <c r="S63" s="77" t="s">
        <v>1468</v>
      </c>
      <c r="T63" s="89" t="s">
        <v>239</v>
      </c>
      <c r="U63" s="30">
        <f t="shared" si="15"/>
        <v>21600</v>
      </c>
    </row>
    <row r="64" spans="1:21" x14ac:dyDescent="0.25">
      <c r="A64" t="s">
        <v>3832</v>
      </c>
      <c r="B64" s="30">
        <f t="shared" si="8"/>
        <v>69.502140189550701</v>
      </c>
      <c r="C64" s="30" t="str">
        <f t="shared" si="9"/>
        <v>4. Chronic lower respiratory disease</v>
      </c>
      <c r="D64" s="30"/>
      <c r="E64" s="48">
        <v>4</v>
      </c>
      <c r="F64" s="76">
        <f t="shared" si="10"/>
        <v>0.71940230708920316</v>
      </c>
      <c r="G64" s="34">
        <f t="shared" si="11"/>
        <v>0.71940230708920316</v>
      </c>
      <c r="H64" s="354">
        <f t="shared" si="12"/>
        <v>1.4388046141784063E-2</v>
      </c>
      <c r="I64" s="89" t="s">
        <v>239</v>
      </c>
      <c r="J64">
        <f t="shared" si="13"/>
        <v>1</v>
      </c>
      <c r="K64" s="31">
        <v>1</v>
      </c>
      <c r="L64" s="29">
        <v>10800</v>
      </c>
      <c r="M64" s="30" t="s">
        <v>1472</v>
      </c>
      <c r="N64" s="28">
        <v>366</v>
      </c>
      <c r="O64" s="77">
        <v>0.02</v>
      </c>
      <c r="P64" s="28">
        <v>3600</v>
      </c>
      <c r="Q64" s="30">
        <v>26352</v>
      </c>
      <c r="R64" s="30">
        <f t="shared" si="14"/>
        <v>20736</v>
      </c>
      <c r="S64" s="77" t="s">
        <v>1468</v>
      </c>
      <c r="T64" s="89" t="s">
        <v>239</v>
      </c>
      <c r="U64" s="30">
        <f t="shared" si="15"/>
        <v>43200</v>
      </c>
    </row>
    <row r="65" spans="1:21" x14ac:dyDescent="0.25">
      <c r="A65" t="s">
        <v>3832</v>
      </c>
      <c r="B65" s="30">
        <f t="shared" si="8"/>
        <v>87.504964223930529</v>
      </c>
      <c r="C65" s="30" t="str">
        <f t="shared" si="9"/>
        <v>4. Chronic lower respiratory disease</v>
      </c>
      <c r="D65" s="30"/>
      <c r="E65" s="48">
        <v>6</v>
      </c>
      <c r="F65" s="76">
        <f t="shared" si="10"/>
        <v>0.57139615384616305</v>
      </c>
      <c r="G65" s="34">
        <f t="shared" si="11"/>
        <v>0.57139615384616305</v>
      </c>
      <c r="H65" s="354">
        <f t="shared" si="12"/>
        <v>1.1427923076923261E-2</v>
      </c>
      <c r="I65" s="89" t="s">
        <v>239</v>
      </c>
      <c r="J65">
        <f t="shared" si="13"/>
        <v>1</v>
      </c>
      <c r="K65" s="31">
        <v>1</v>
      </c>
      <c r="L65" s="29">
        <v>10800</v>
      </c>
      <c r="M65" s="30" t="s">
        <v>1472</v>
      </c>
      <c r="N65" s="28">
        <v>366</v>
      </c>
      <c r="O65" s="77">
        <v>0.02</v>
      </c>
      <c r="P65" s="28">
        <v>3600</v>
      </c>
      <c r="Q65" s="30">
        <v>26352</v>
      </c>
      <c r="R65" s="30">
        <f t="shared" si="14"/>
        <v>31104</v>
      </c>
      <c r="S65" s="77" t="s">
        <v>1468</v>
      </c>
      <c r="T65" s="89" t="s">
        <v>239</v>
      </c>
      <c r="U65" s="30">
        <f t="shared" si="15"/>
        <v>64800</v>
      </c>
    </row>
    <row r="66" spans="1:21" x14ac:dyDescent="0.25">
      <c r="A66" t="s">
        <v>3832</v>
      </c>
      <c r="B66" s="30">
        <f t="shared" si="8"/>
        <v>106.31844746568071</v>
      </c>
      <c r="C66" s="30" t="str">
        <f t="shared" si="9"/>
        <v>7. Fall</v>
      </c>
      <c r="D66" s="30"/>
      <c r="E66" s="48">
        <v>8</v>
      </c>
      <c r="F66" s="76">
        <f t="shared" si="10"/>
        <v>0.47028527214094107</v>
      </c>
      <c r="G66" s="34">
        <f t="shared" si="11"/>
        <v>0.47028527214094107</v>
      </c>
      <c r="H66" s="354">
        <f t="shared" si="12"/>
        <v>9.4057054428188219E-3</v>
      </c>
      <c r="I66" s="89" t="s">
        <v>239</v>
      </c>
      <c r="J66">
        <f t="shared" si="13"/>
        <v>1</v>
      </c>
      <c r="K66" s="31">
        <v>1</v>
      </c>
      <c r="L66" s="29">
        <v>10800</v>
      </c>
      <c r="M66" s="30" t="s">
        <v>1472</v>
      </c>
      <c r="N66" s="28">
        <v>366</v>
      </c>
      <c r="O66" s="77">
        <v>0.02</v>
      </c>
      <c r="P66" s="28">
        <v>3600</v>
      </c>
      <c r="Q66" s="30">
        <v>26352</v>
      </c>
      <c r="R66" s="30">
        <f t="shared" si="14"/>
        <v>41472</v>
      </c>
      <c r="S66" s="77" t="s">
        <v>1468</v>
      </c>
      <c r="T66" s="89" t="s">
        <v>239</v>
      </c>
      <c r="U66" s="30">
        <f t="shared" si="15"/>
        <v>86400</v>
      </c>
    </row>
    <row r="67" spans="1:21" x14ac:dyDescent="0.25">
      <c r="A67" t="s">
        <v>3832</v>
      </c>
      <c r="B67" s="30">
        <f t="shared" si="8"/>
        <v>125.46964519748762</v>
      </c>
      <c r="C67" s="30" t="str">
        <f t="shared" si="9"/>
        <v>8. Motor vehicle crash</v>
      </c>
      <c r="D67" s="30"/>
      <c r="E67" s="48">
        <v>10</v>
      </c>
      <c r="F67" s="76">
        <f t="shared" si="10"/>
        <v>0.39850276073787116</v>
      </c>
      <c r="G67" s="34">
        <f t="shared" si="11"/>
        <v>0.39850276073787116</v>
      </c>
      <c r="H67" s="354">
        <f t="shared" si="12"/>
        <v>7.9700552147574238E-3</v>
      </c>
      <c r="I67" s="89" t="s">
        <v>239</v>
      </c>
      <c r="J67">
        <f t="shared" si="13"/>
        <v>1</v>
      </c>
      <c r="K67" s="31">
        <v>1</v>
      </c>
      <c r="L67" s="29">
        <v>10800</v>
      </c>
      <c r="M67" s="30" t="s">
        <v>1472</v>
      </c>
      <c r="N67" s="28">
        <v>366</v>
      </c>
      <c r="O67" s="77">
        <v>0.02</v>
      </c>
      <c r="P67" s="28">
        <v>3600</v>
      </c>
      <c r="Q67" s="30">
        <v>26352</v>
      </c>
      <c r="R67" s="30">
        <f t="shared" si="14"/>
        <v>51840</v>
      </c>
      <c r="S67" s="77" t="s">
        <v>1468</v>
      </c>
      <c r="T67" s="89" t="s">
        <v>239</v>
      </c>
      <c r="U67" s="30">
        <f t="shared" si="15"/>
        <v>108000</v>
      </c>
    </row>
    <row r="68" spans="1:21" x14ac:dyDescent="0.25">
      <c r="A68" t="s">
        <v>3832</v>
      </c>
      <c r="B68" s="30">
        <f t="shared" si="8"/>
        <v>144.79257678227364</v>
      </c>
      <c r="C68" s="30" t="str">
        <f t="shared" si="9"/>
        <v>8. Motor vehicle crash</v>
      </c>
      <c r="D68" s="30"/>
      <c r="E68" s="48">
        <v>12</v>
      </c>
      <c r="F68" s="76">
        <f t="shared" si="10"/>
        <v>0.34532157042267164</v>
      </c>
      <c r="G68" s="34">
        <f t="shared" si="11"/>
        <v>0.34532157042267164</v>
      </c>
      <c r="H68" s="354">
        <f t="shared" si="12"/>
        <v>6.9064314084534327E-3</v>
      </c>
      <c r="I68" s="89" t="s">
        <v>239</v>
      </c>
      <c r="J68">
        <f t="shared" si="13"/>
        <v>1</v>
      </c>
      <c r="K68" s="31">
        <v>1</v>
      </c>
      <c r="L68" s="29">
        <v>10800</v>
      </c>
      <c r="M68" s="30" t="s">
        <v>1472</v>
      </c>
      <c r="N68" s="28">
        <v>366</v>
      </c>
      <c r="O68" s="77">
        <v>0.02</v>
      </c>
      <c r="P68" s="28">
        <v>3600</v>
      </c>
      <c r="Q68" s="30">
        <v>26352</v>
      </c>
      <c r="R68" s="30">
        <f t="shared" si="14"/>
        <v>62208</v>
      </c>
      <c r="S68" s="77" t="s">
        <v>1468</v>
      </c>
      <c r="T68" s="89" t="s">
        <v>239</v>
      </c>
      <c r="U68" s="30">
        <f t="shared" si="15"/>
        <v>129600</v>
      </c>
    </row>
    <row r="69" spans="1:21" x14ac:dyDescent="0.25">
      <c r="A69" t="s">
        <v>3832</v>
      </c>
      <c r="B69" s="30">
        <f t="shared" si="8"/>
        <v>173.95032524041582</v>
      </c>
      <c r="C69" s="30" t="str">
        <f t="shared" si="9"/>
        <v>8. Motor vehicle crash</v>
      </c>
      <c r="D69" s="30"/>
      <c r="E69" s="48">
        <v>15</v>
      </c>
      <c r="F69" s="76">
        <f t="shared" si="10"/>
        <v>0.28743838179604009</v>
      </c>
      <c r="G69" s="34">
        <f t="shared" si="11"/>
        <v>0.28743838179604009</v>
      </c>
      <c r="H69" s="354">
        <f t="shared" si="12"/>
        <v>5.7487676359208022E-3</v>
      </c>
      <c r="I69" s="89" t="s">
        <v>239</v>
      </c>
      <c r="J69">
        <f t="shared" si="13"/>
        <v>1</v>
      </c>
      <c r="K69" s="31">
        <v>1</v>
      </c>
      <c r="L69" s="29">
        <v>10800</v>
      </c>
      <c r="M69" s="30" t="s">
        <v>1472</v>
      </c>
      <c r="N69" s="28">
        <v>366</v>
      </c>
      <c r="O69" s="77">
        <v>0.02</v>
      </c>
      <c r="P69" s="28">
        <v>3600</v>
      </c>
      <c r="Q69" s="30">
        <v>26352</v>
      </c>
      <c r="R69" s="30">
        <f t="shared" si="14"/>
        <v>77760</v>
      </c>
      <c r="S69" s="77" t="s">
        <v>1468</v>
      </c>
      <c r="T69" s="89" t="s">
        <v>239</v>
      </c>
      <c r="U69" s="30">
        <f t="shared" si="15"/>
        <v>162000</v>
      </c>
    </row>
    <row r="70" spans="1:21" x14ac:dyDescent="0.25">
      <c r="A70" t="s">
        <v>3832</v>
      </c>
      <c r="B70" s="30">
        <f t="shared" si="8"/>
        <v>222.77920077199963</v>
      </c>
      <c r="C70" s="30" t="str">
        <f t="shared" si="9"/>
        <v>8. Motor vehicle crash</v>
      </c>
      <c r="D70" s="30"/>
      <c r="E70" s="48">
        <v>20</v>
      </c>
      <c r="F70" s="76">
        <f t="shared" si="10"/>
        <v>0.22443746914763296</v>
      </c>
      <c r="G70" s="34">
        <f t="shared" si="11"/>
        <v>0.22443746914763296</v>
      </c>
      <c r="H70" s="354">
        <f t="shared" si="12"/>
        <v>4.4887493829526594E-3</v>
      </c>
      <c r="I70" s="89" t="s">
        <v>239</v>
      </c>
      <c r="J70">
        <f t="shared" si="13"/>
        <v>1</v>
      </c>
      <c r="K70" s="31">
        <v>1</v>
      </c>
      <c r="L70" s="29">
        <v>10800</v>
      </c>
      <c r="M70" s="30" t="s">
        <v>1472</v>
      </c>
      <c r="N70" s="28">
        <v>366</v>
      </c>
      <c r="O70" s="77">
        <v>0.02</v>
      </c>
      <c r="P70" s="28">
        <v>3600</v>
      </c>
      <c r="Q70" s="30">
        <v>26352</v>
      </c>
      <c r="R70" s="30">
        <f t="shared" si="14"/>
        <v>103680</v>
      </c>
      <c r="S70" s="77" t="s">
        <v>1468</v>
      </c>
      <c r="T70" s="89" t="s">
        <v>239</v>
      </c>
      <c r="U70" s="30">
        <f t="shared" si="15"/>
        <v>216000</v>
      </c>
    </row>
    <row r="71" spans="1:21" x14ac:dyDescent="0.25">
      <c r="A71" t="s">
        <v>3832</v>
      </c>
      <c r="B71" s="30">
        <f t="shared" si="8"/>
        <v>517.22681684273175</v>
      </c>
      <c r="C71" s="30" t="str">
        <f t="shared" si="9"/>
        <v>9. Gun assault</v>
      </c>
      <c r="D71" s="30"/>
      <c r="E71" s="48">
        <v>50</v>
      </c>
      <c r="F71" s="76">
        <f t="shared" si="10"/>
        <v>9.6669388306683701E-2</v>
      </c>
      <c r="G71" s="34">
        <f t="shared" si="11"/>
        <v>9.6669388306683701E-2</v>
      </c>
      <c r="H71" s="354">
        <f t="shared" si="12"/>
        <v>1.933387766133674E-3</v>
      </c>
      <c r="I71" s="89" t="s">
        <v>239</v>
      </c>
      <c r="J71">
        <f t="shared" si="13"/>
        <v>1</v>
      </c>
      <c r="K71" s="31">
        <v>1</v>
      </c>
      <c r="L71" s="29">
        <v>10800</v>
      </c>
      <c r="M71" s="30" t="s">
        <v>1472</v>
      </c>
      <c r="N71" s="28">
        <v>366</v>
      </c>
      <c r="O71" s="77">
        <v>0.02</v>
      </c>
      <c r="P71" s="28">
        <v>3600</v>
      </c>
      <c r="Q71" s="30">
        <v>26352</v>
      </c>
      <c r="R71" s="30">
        <f t="shared" si="14"/>
        <v>259200</v>
      </c>
      <c r="S71" s="77" t="s">
        <v>1468</v>
      </c>
      <c r="T71" s="89" t="s">
        <v>239</v>
      </c>
      <c r="U71" s="30">
        <f t="shared" si="15"/>
        <v>540000</v>
      </c>
    </row>
    <row r="73" spans="1:21" x14ac:dyDescent="0.25">
      <c r="A73" t="s">
        <v>3833</v>
      </c>
      <c r="B73" s="30">
        <f t="shared" ref="B73:B83" si="16">1/(H73)</f>
        <v>50</v>
      </c>
      <c r="C73" s="30" t="str">
        <f t="shared" ref="C73:C83" si="17">VLOOKUP(B73,B$4:C$28, 2)</f>
        <v>4. Chronic lower respiratory disease</v>
      </c>
      <c r="D73" s="30"/>
      <c r="E73" s="48">
        <v>1E-4</v>
      </c>
      <c r="F73" s="76">
        <f t="shared" ref="F73:F83" si="18">(1-EXP(-Q73/R73))</f>
        <v>1</v>
      </c>
      <c r="G73" s="34">
        <f t="shared" ref="G73:G83" si="19">F73</f>
        <v>1</v>
      </c>
      <c r="H73" s="354">
        <f t="shared" ref="H73:H83" si="20">G73*H$31</f>
        <v>0.02</v>
      </c>
      <c r="I73" s="89" t="s">
        <v>239</v>
      </c>
      <c r="J73">
        <f t="shared" ref="J73:J83" si="21">P73/3600</f>
        <v>1</v>
      </c>
      <c r="K73" s="31">
        <v>1</v>
      </c>
      <c r="L73" s="29">
        <v>400000</v>
      </c>
      <c r="M73" s="30" t="s">
        <v>1472</v>
      </c>
      <c r="N73" s="28">
        <v>366</v>
      </c>
      <c r="O73" s="77">
        <v>0.02</v>
      </c>
      <c r="P73" s="28">
        <v>3600</v>
      </c>
      <c r="Q73" s="30">
        <v>26352</v>
      </c>
      <c r="R73" s="30">
        <f t="shared" ref="R73:R83" si="22">U73*12*12*12/3600</f>
        <v>19.2</v>
      </c>
      <c r="S73" s="77" t="s">
        <v>1468</v>
      </c>
      <c r="T73" s="89" t="s">
        <v>239</v>
      </c>
      <c r="U73" s="30">
        <f t="shared" ref="U73:U83" si="23">L73*E73</f>
        <v>40</v>
      </c>
    </row>
    <row r="74" spans="1:21" x14ac:dyDescent="0.25">
      <c r="A74" t="s">
        <v>3833</v>
      </c>
      <c r="B74" s="30">
        <f t="shared" si="16"/>
        <v>389.87042048943567</v>
      </c>
      <c r="C74" s="30" t="str">
        <f t="shared" si="17"/>
        <v>9. Gun assault</v>
      </c>
      <c r="D74" s="30"/>
      <c r="E74" s="48">
        <v>1</v>
      </c>
      <c r="F74" s="76">
        <f t="shared" si="18"/>
        <v>0.12824773917762466</v>
      </c>
      <c r="G74" s="34">
        <f t="shared" si="19"/>
        <v>0.12824773917762466</v>
      </c>
      <c r="H74" s="354">
        <f t="shared" si="20"/>
        <v>2.5649547835524932E-3</v>
      </c>
      <c r="I74" s="89" t="s">
        <v>239</v>
      </c>
      <c r="J74">
        <f t="shared" si="21"/>
        <v>1</v>
      </c>
      <c r="K74" s="31">
        <v>1</v>
      </c>
      <c r="L74" s="29">
        <v>400000</v>
      </c>
      <c r="M74" s="30" t="s">
        <v>1472</v>
      </c>
      <c r="N74" s="28">
        <v>366</v>
      </c>
      <c r="O74" s="77">
        <v>0.02</v>
      </c>
      <c r="P74" s="28">
        <v>3600</v>
      </c>
      <c r="Q74" s="30">
        <v>26352</v>
      </c>
      <c r="R74" s="30">
        <f t="shared" si="22"/>
        <v>192000</v>
      </c>
      <c r="S74" s="77" t="s">
        <v>1468</v>
      </c>
      <c r="T74" s="89" t="s">
        <v>239</v>
      </c>
      <c r="U74" s="30">
        <f t="shared" si="23"/>
        <v>400000</v>
      </c>
    </row>
    <row r="75" spans="1:21" x14ac:dyDescent="0.25">
      <c r="A75" t="s">
        <v>3833</v>
      </c>
      <c r="B75" s="30">
        <f t="shared" si="16"/>
        <v>753.88336496825139</v>
      </c>
      <c r="C75" s="30" t="str">
        <f t="shared" si="17"/>
        <v>10. Pedestrian incident</v>
      </c>
      <c r="D75" s="30"/>
      <c r="E75" s="48">
        <v>2</v>
      </c>
      <c r="F75" s="76">
        <f t="shared" si="18"/>
        <v>6.6323256784032725E-2</v>
      </c>
      <c r="G75" s="34">
        <f t="shared" si="19"/>
        <v>6.6323256784032725E-2</v>
      </c>
      <c r="H75" s="354">
        <f t="shared" si="20"/>
        <v>1.3264651356806546E-3</v>
      </c>
      <c r="I75" s="89" t="s">
        <v>239</v>
      </c>
      <c r="J75">
        <f t="shared" si="21"/>
        <v>1</v>
      </c>
      <c r="K75" s="31">
        <v>1</v>
      </c>
      <c r="L75" s="29">
        <v>400000</v>
      </c>
      <c r="M75" s="30" t="s">
        <v>1472</v>
      </c>
      <c r="N75" s="28">
        <v>366</v>
      </c>
      <c r="O75" s="77">
        <v>0.02</v>
      </c>
      <c r="P75" s="28">
        <v>3600</v>
      </c>
      <c r="Q75" s="30">
        <v>26352</v>
      </c>
      <c r="R75" s="30">
        <f t="shared" si="22"/>
        <v>384000</v>
      </c>
      <c r="S75" s="77" t="s">
        <v>1468</v>
      </c>
      <c r="T75" s="89" t="s">
        <v>239</v>
      </c>
      <c r="U75" s="30">
        <f t="shared" si="23"/>
        <v>800000</v>
      </c>
    </row>
    <row r="76" spans="1:21" x14ac:dyDescent="0.25">
      <c r="A76" t="s">
        <v>3833</v>
      </c>
      <c r="B76" s="30">
        <f t="shared" si="16"/>
        <v>1482.3378657625292</v>
      </c>
      <c r="C76" s="30" t="str">
        <f t="shared" si="17"/>
        <v>12. Drowning</v>
      </c>
      <c r="D76" s="30"/>
      <c r="E76" s="48">
        <v>4</v>
      </c>
      <c r="F76" s="76">
        <f t="shared" si="18"/>
        <v>3.37305017667342E-2</v>
      </c>
      <c r="G76" s="34">
        <f t="shared" si="19"/>
        <v>3.37305017667342E-2</v>
      </c>
      <c r="H76" s="354">
        <f t="shared" si="20"/>
        <v>6.7461003533468404E-4</v>
      </c>
      <c r="I76" s="89" t="s">
        <v>239</v>
      </c>
      <c r="J76">
        <f t="shared" si="21"/>
        <v>1</v>
      </c>
      <c r="K76" s="31">
        <v>1</v>
      </c>
      <c r="L76" s="29">
        <v>400000</v>
      </c>
      <c r="M76" s="30" t="s">
        <v>1472</v>
      </c>
      <c r="N76" s="28">
        <v>366</v>
      </c>
      <c r="O76" s="77">
        <v>0.02</v>
      </c>
      <c r="P76" s="28">
        <v>3600</v>
      </c>
      <c r="Q76" s="30">
        <v>26352</v>
      </c>
      <c r="R76" s="30">
        <f t="shared" si="22"/>
        <v>768000</v>
      </c>
      <c r="S76" s="77" t="s">
        <v>1468</v>
      </c>
      <c r="T76" s="89" t="s">
        <v>239</v>
      </c>
      <c r="U76" s="30">
        <f t="shared" si="23"/>
        <v>1600000</v>
      </c>
    </row>
    <row r="77" spans="1:21" x14ac:dyDescent="0.25">
      <c r="A77" t="s">
        <v>3833</v>
      </c>
      <c r="B77" s="30">
        <f t="shared" si="16"/>
        <v>2210.8876613955531</v>
      </c>
      <c r="C77" s="30" t="str">
        <f t="shared" si="17"/>
        <v>13. Fire or smoke</v>
      </c>
      <c r="D77" s="30"/>
      <c r="E77" s="48">
        <v>6</v>
      </c>
      <c r="F77" s="76">
        <f t="shared" si="18"/>
        <v>2.2615350781070021E-2</v>
      </c>
      <c r="G77" s="34">
        <f t="shared" si="19"/>
        <v>2.2615350781070021E-2</v>
      </c>
      <c r="H77" s="354">
        <f t="shared" si="20"/>
        <v>4.5230701562140043E-4</v>
      </c>
      <c r="I77" s="89" t="s">
        <v>239</v>
      </c>
      <c r="J77">
        <f t="shared" si="21"/>
        <v>1</v>
      </c>
      <c r="K77" s="31">
        <v>1</v>
      </c>
      <c r="L77" s="29">
        <v>400000</v>
      </c>
      <c r="M77" s="30" t="s">
        <v>1472</v>
      </c>
      <c r="N77" s="28">
        <v>366</v>
      </c>
      <c r="O77" s="77">
        <v>0.02</v>
      </c>
      <c r="P77" s="28">
        <v>3600</v>
      </c>
      <c r="Q77" s="30">
        <v>26352</v>
      </c>
      <c r="R77" s="30">
        <f t="shared" si="22"/>
        <v>1152000</v>
      </c>
      <c r="S77" s="77" t="s">
        <v>1468</v>
      </c>
      <c r="T77" s="89" t="s">
        <v>239</v>
      </c>
      <c r="U77" s="30">
        <f t="shared" si="23"/>
        <v>2400000</v>
      </c>
    </row>
    <row r="78" spans="1:21" x14ac:dyDescent="0.25">
      <c r="A78" t="s">
        <v>3833</v>
      </c>
      <c r="B78" s="30">
        <f t="shared" si="16"/>
        <v>2939.4612836600254</v>
      </c>
      <c r="C78" s="30" t="str">
        <f t="shared" si="17"/>
        <v>14. Choking on food</v>
      </c>
      <c r="D78" s="30"/>
      <c r="E78" s="48">
        <v>8</v>
      </c>
      <c r="F78" s="76">
        <f t="shared" si="18"/>
        <v>1.7009919565173948E-2</v>
      </c>
      <c r="G78" s="34">
        <f t="shared" si="19"/>
        <v>1.7009919565173948E-2</v>
      </c>
      <c r="H78" s="354">
        <f t="shared" si="20"/>
        <v>3.4019839130347898E-4</v>
      </c>
      <c r="I78" s="89" t="s">
        <v>239</v>
      </c>
      <c r="J78">
        <f t="shared" si="21"/>
        <v>1</v>
      </c>
      <c r="K78" s="31">
        <v>1</v>
      </c>
      <c r="L78" s="29">
        <v>400000</v>
      </c>
      <c r="M78" s="30" t="s">
        <v>1472</v>
      </c>
      <c r="N78" s="28">
        <v>366</v>
      </c>
      <c r="O78" s="77">
        <v>0.02</v>
      </c>
      <c r="P78" s="28">
        <v>3600</v>
      </c>
      <c r="Q78" s="30">
        <v>26352</v>
      </c>
      <c r="R78" s="30">
        <f t="shared" si="22"/>
        <v>1536000</v>
      </c>
      <c r="S78" s="77" t="s">
        <v>1468</v>
      </c>
      <c r="T78" s="89" t="s">
        <v>239</v>
      </c>
      <c r="U78" s="30">
        <f t="shared" si="23"/>
        <v>3200000</v>
      </c>
    </row>
    <row r="79" spans="1:21" x14ac:dyDescent="0.25">
      <c r="A79" t="s">
        <v>3833</v>
      </c>
      <c r="B79" s="30">
        <f t="shared" si="16"/>
        <v>3668.0444368650965</v>
      </c>
      <c r="C79" s="30" t="str">
        <f t="shared" si="17"/>
        <v>14. Choking on food</v>
      </c>
      <c r="D79" s="30"/>
      <c r="E79" s="48">
        <v>10</v>
      </c>
      <c r="F79" s="76">
        <f t="shared" si="18"/>
        <v>1.3631241622234169E-2</v>
      </c>
      <c r="G79" s="34">
        <f t="shared" si="19"/>
        <v>1.3631241622234169E-2</v>
      </c>
      <c r="H79" s="354">
        <f t="shared" si="20"/>
        <v>2.726248324446834E-4</v>
      </c>
      <c r="I79" s="89" t="s">
        <v>239</v>
      </c>
      <c r="J79">
        <f t="shared" si="21"/>
        <v>1</v>
      </c>
      <c r="K79" s="31">
        <v>1</v>
      </c>
      <c r="L79" s="29">
        <v>400000</v>
      </c>
      <c r="M79" s="30" t="s">
        <v>1472</v>
      </c>
      <c r="N79" s="28">
        <v>366</v>
      </c>
      <c r="O79" s="77">
        <v>0.02</v>
      </c>
      <c r="P79" s="28">
        <v>3600</v>
      </c>
      <c r="Q79" s="30">
        <v>26352</v>
      </c>
      <c r="R79" s="30">
        <f t="shared" si="22"/>
        <v>1920000</v>
      </c>
      <c r="S79" s="77" t="s">
        <v>1468</v>
      </c>
      <c r="T79" s="89" t="s">
        <v>239</v>
      </c>
      <c r="U79" s="30">
        <f t="shared" si="23"/>
        <v>4000000</v>
      </c>
    </row>
    <row r="80" spans="1:21" x14ac:dyDescent="0.25">
      <c r="A80" t="s">
        <v>3833</v>
      </c>
      <c r="B80" s="30">
        <f t="shared" si="16"/>
        <v>4396.6323555996605</v>
      </c>
      <c r="C80" s="30" t="str">
        <f t="shared" si="17"/>
        <v>15. Bicyclist</v>
      </c>
      <c r="D80" s="30"/>
      <c r="E80" s="48">
        <v>12</v>
      </c>
      <c r="F80" s="76">
        <f t="shared" si="18"/>
        <v>1.1372340454238516E-2</v>
      </c>
      <c r="G80" s="34">
        <f t="shared" si="19"/>
        <v>1.1372340454238516E-2</v>
      </c>
      <c r="H80" s="354">
        <f t="shared" si="20"/>
        <v>2.2744680908477034E-4</v>
      </c>
      <c r="I80" s="89" t="s">
        <v>239</v>
      </c>
      <c r="J80">
        <f t="shared" si="21"/>
        <v>1</v>
      </c>
      <c r="K80" s="31">
        <v>1</v>
      </c>
      <c r="L80" s="29">
        <v>400000</v>
      </c>
      <c r="M80" s="30" t="s">
        <v>1472</v>
      </c>
      <c r="N80" s="28">
        <v>366</v>
      </c>
      <c r="O80" s="77">
        <v>0.02</v>
      </c>
      <c r="P80" s="28">
        <v>3600</v>
      </c>
      <c r="Q80" s="30">
        <v>26352</v>
      </c>
      <c r="R80" s="30">
        <f t="shared" si="22"/>
        <v>2304000</v>
      </c>
      <c r="S80" s="77" t="s">
        <v>1468</v>
      </c>
      <c r="T80" s="89" t="s">
        <v>239</v>
      </c>
      <c r="U80" s="30">
        <f t="shared" si="23"/>
        <v>4800000</v>
      </c>
    </row>
    <row r="81" spans="1:21" x14ac:dyDescent="0.25">
      <c r="A81" t="s">
        <v>3833</v>
      </c>
      <c r="B81" s="30">
        <f t="shared" si="16"/>
        <v>5489.5189992637215</v>
      </c>
      <c r="C81" s="30" t="str">
        <f t="shared" si="17"/>
        <v>15. Bicyclist</v>
      </c>
      <c r="D81" s="30"/>
      <c r="E81" s="48">
        <v>15</v>
      </c>
      <c r="F81" s="76">
        <f t="shared" si="18"/>
        <v>9.108266135285481E-3</v>
      </c>
      <c r="G81" s="34">
        <f t="shared" si="19"/>
        <v>9.108266135285481E-3</v>
      </c>
      <c r="H81" s="354">
        <f t="shared" si="20"/>
        <v>1.8216532270570962E-4</v>
      </c>
      <c r="I81" s="89" t="s">
        <v>239</v>
      </c>
      <c r="J81">
        <f t="shared" si="21"/>
        <v>1</v>
      </c>
      <c r="K81" s="31">
        <v>1</v>
      </c>
      <c r="L81" s="29">
        <v>400000</v>
      </c>
      <c r="M81" s="30" t="s">
        <v>1472</v>
      </c>
      <c r="N81" s="28">
        <v>366</v>
      </c>
      <c r="O81" s="77">
        <v>0.02</v>
      </c>
      <c r="P81" s="28">
        <v>3600</v>
      </c>
      <c r="Q81" s="30">
        <v>26352</v>
      </c>
      <c r="R81" s="30">
        <f t="shared" si="22"/>
        <v>2880000</v>
      </c>
      <c r="S81" s="77" t="s">
        <v>1468</v>
      </c>
      <c r="T81" s="89" t="s">
        <v>239</v>
      </c>
      <c r="U81" s="30">
        <f t="shared" si="23"/>
        <v>6000000</v>
      </c>
    </row>
    <row r="82" spans="1:21" x14ac:dyDescent="0.25">
      <c r="A82" t="s">
        <v>3833</v>
      </c>
      <c r="B82" s="30">
        <f t="shared" si="16"/>
        <v>7311.0030928168208</v>
      </c>
      <c r="C82" s="30" t="str">
        <f t="shared" si="17"/>
        <v>15. Bicyclist</v>
      </c>
      <c r="D82" s="30"/>
      <c r="E82" s="48">
        <v>20</v>
      </c>
      <c r="F82" s="76">
        <f t="shared" si="18"/>
        <v>6.8390068182471175E-3</v>
      </c>
      <c r="G82" s="34">
        <f t="shared" si="19"/>
        <v>6.8390068182471175E-3</v>
      </c>
      <c r="H82" s="354">
        <f t="shared" si="20"/>
        <v>1.3678013636494234E-4</v>
      </c>
      <c r="I82" s="89" t="s">
        <v>239</v>
      </c>
      <c r="J82">
        <f t="shared" si="21"/>
        <v>1</v>
      </c>
      <c r="K82" s="31">
        <v>1</v>
      </c>
      <c r="L82" s="29">
        <v>400000</v>
      </c>
      <c r="M82" s="30" t="s">
        <v>1472</v>
      </c>
      <c r="N82" s="28">
        <v>366</v>
      </c>
      <c r="O82" s="77">
        <v>0.02</v>
      </c>
      <c r="P82" s="28">
        <v>3600</v>
      </c>
      <c r="Q82" s="30">
        <v>26352</v>
      </c>
      <c r="R82" s="30">
        <f t="shared" si="22"/>
        <v>3840000</v>
      </c>
      <c r="S82" s="77" t="s">
        <v>1468</v>
      </c>
      <c r="T82" s="89" t="s">
        <v>239</v>
      </c>
      <c r="U82" s="30">
        <f t="shared" si="23"/>
        <v>8000000</v>
      </c>
    </row>
    <row r="83" spans="1:21" x14ac:dyDescent="0.25">
      <c r="A83" t="s">
        <v>3833</v>
      </c>
      <c r="B83" s="30">
        <f t="shared" si="16"/>
        <v>18239.947685222047</v>
      </c>
      <c r="C83" s="30" t="str">
        <f t="shared" si="17"/>
        <v>18. Electrocution, radiation, extreme temperatures, and pressure</v>
      </c>
      <c r="D83" s="30"/>
      <c r="E83" s="48">
        <v>50</v>
      </c>
      <c r="F83" s="76">
        <f t="shared" si="18"/>
        <v>2.7412359324094915E-3</v>
      </c>
      <c r="G83" s="34">
        <f t="shared" si="19"/>
        <v>2.7412359324094915E-3</v>
      </c>
      <c r="H83" s="354">
        <f t="shared" si="20"/>
        <v>5.4824718648189828E-5</v>
      </c>
      <c r="I83" s="89" t="s">
        <v>239</v>
      </c>
      <c r="J83">
        <f t="shared" si="21"/>
        <v>1</v>
      </c>
      <c r="K83" s="31">
        <v>1</v>
      </c>
      <c r="L83" s="29">
        <v>400000</v>
      </c>
      <c r="M83" s="30" t="s">
        <v>1472</v>
      </c>
      <c r="N83" s="28">
        <v>366</v>
      </c>
      <c r="O83" s="77">
        <v>0.02</v>
      </c>
      <c r="P83" s="28">
        <v>3600</v>
      </c>
      <c r="Q83" s="30">
        <v>26352</v>
      </c>
      <c r="R83" s="30">
        <f t="shared" si="22"/>
        <v>9600000</v>
      </c>
      <c r="S83" s="77" t="s">
        <v>1468</v>
      </c>
      <c r="T83" s="89" t="s">
        <v>239</v>
      </c>
      <c r="U83" s="30">
        <f t="shared" si="23"/>
        <v>20000000</v>
      </c>
    </row>
    <row r="86" spans="1:21" s="42" customFormat="1" ht="135" x14ac:dyDescent="0.25">
      <c r="E86" s="42" t="s">
        <v>1776</v>
      </c>
      <c r="F86" s="42" t="s">
        <v>4577</v>
      </c>
      <c r="G86" s="42" t="s">
        <v>4572</v>
      </c>
      <c r="H86" s="42" t="s">
        <v>4583</v>
      </c>
      <c r="I86" s="42" t="s">
        <v>4584</v>
      </c>
      <c r="J86" s="42" t="s">
        <v>4585</v>
      </c>
    </row>
    <row r="87" spans="1:21" x14ac:dyDescent="0.25">
      <c r="E87" s="48">
        <v>1E-4</v>
      </c>
      <c r="F87" s="34">
        <v>1</v>
      </c>
      <c r="G87" s="34">
        <v>1</v>
      </c>
      <c r="H87" s="34">
        <v>1</v>
      </c>
      <c r="I87" s="34">
        <v>1</v>
      </c>
      <c r="J87" s="34" t="s">
        <v>290</v>
      </c>
    </row>
    <row r="88" spans="1:21" x14ac:dyDescent="0.25">
      <c r="E88" s="48">
        <v>1</v>
      </c>
      <c r="F88" s="34">
        <v>0.63</v>
      </c>
      <c r="G88" s="34">
        <v>1</v>
      </c>
      <c r="H88" s="34">
        <v>0.99380078949742301</v>
      </c>
      <c r="I88" s="34">
        <v>0.12824773917762466</v>
      </c>
      <c r="J88" s="34">
        <v>1</v>
      </c>
    </row>
    <row r="89" spans="1:21" x14ac:dyDescent="0.25">
      <c r="E89" s="48">
        <v>2</v>
      </c>
      <c r="F89" s="34">
        <v>0.4</v>
      </c>
      <c r="G89" s="34">
        <v>0.5</v>
      </c>
      <c r="H89" s="34">
        <v>0.92126493473313809</v>
      </c>
      <c r="I89" s="34">
        <v>6.6323256784032725E-2</v>
      </c>
      <c r="J89" s="34">
        <f>I89/I$88</f>
        <v>0.51714952021239313</v>
      </c>
    </row>
    <row r="90" spans="1:21" x14ac:dyDescent="0.25">
      <c r="E90" s="48">
        <v>4</v>
      </c>
      <c r="F90" s="34">
        <v>0.16</v>
      </c>
      <c r="G90" s="34">
        <v>0.25</v>
      </c>
      <c r="H90" s="34">
        <v>0.71940230708920316</v>
      </c>
      <c r="I90" s="34">
        <v>3.37305017667342E-2</v>
      </c>
      <c r="J90" s="34">
        <f t="shared" ref="J90:J97" si="24">I90/I$88</f>
        <v>0.2630104981423263</v>
      </c>
    </row>
    <row r="91" spans="1:21" x14ac:dyDescent="0.25">
      <c r="E91" s="48">
        <v>6</v>
      </c>
      <c r="F91" s="34">
        <v>0.06</v>
      </c>
      <c r="G91" s="34">
        <v>0.17</v>
      </c>
      <c r="H91" s="34">
        <v>0.57139615384616305</v>
      </c>
      <c r="I91" s="34">
        <v>2.2615350781070021E-2</v>
      </c>
      <c r="J91" s="34">
        <f t="shared" si="24"/>
        <v>0.17634112637063712</v>
      </c>
    </row>
    <row r="92" spans="1:21" x14ac:dyDescent="0.25">
      <c r="E92" s="48">
        <v>8</v>
      </c>
      <c r="F92" s="34">
        <v>0.02</v>
      </c>
      <c r="G92" s="34">
        <v>0.13</v>
      </c>
      <c r="H92" s="34">
        <v>0.47028527214094107</v>
      </c>
      <c r="I92" s="34">
        <v>1.7009919565173948E-2</v>
      </c>
      <c r="J92" s="34">
        <f t="shared" si="24"/>
        <v>0.1326332898673169</v>
      </c>
    </row>
    <row r="93" spans="1:21" x14ac:dyDescent="0.25">
      <c r="E93" s="48">
        <v>10</v>
      </c>
      <c r="F93" s="34">
        <v>0.01</v>
      </c>
      <c r="G93" s="34">
        <v>0.1</v>
      </c>
      <c r="H93" s="34">
        <v>0.39850276073787116</v>
      </c>
      <c r="I93" s="34">
        <v>1.3631241622234169E-2</v>
      </c>
      <c r="J93" s="34">
        <f t="shared" si="24"/>
        <v>0.10628835806107065</v>
      </c>
    </row>
    <row r="94" spans="1:21" x14ac:dyDescent="0.25">
      <c r="E94" s="48">
        <v>12</v>
      </c>
      <c r="F94" s="34">
        <v>3.8999999999999998E-3</v>
      </c>
      <c r="G94" s="34">
        <v>0.08</v>
      </c>
      <c r="H94" s="34">
        <v>0.34532157042267164</v>
      </c>
      <c r="I94" s="34">
        <v>1.1372340454238516E-2</v>
      </c>
      <c r="J94" s="34">
        <f t="shared" si="24"/>
        <v>8.8674783096859805E-2</v>
      </c>
    </row>
    <row r="95" spans="1:21" x14ac:dyDescent="0.25">
      <c r="E95" s="48">
        <v>15</v>
      </c>
      <c r="F95" s="34">
        <v>1E-3</v>
      </c>
      <c r="G95" s="34">
        <v>7.0000000000000007E-2</v>
      </c>
      <c r="H95" s="34">
        <v>0.28743838179604009</v>
      </c>
      <c r="I95" s="34">
        <v>9.108266135285481E-3</v>
      </c>
      <c r="J95" s="34">
        <f t="shared" si="24"/>
        <v>7.1020870961868751E-2</v>
      </c>
    </row>
    <row r="96" spans="1:21" x14ac:dyDescent="0.25">
      <c r="E96" s="48">
        <v>20</v>
      </c>
      <c r="F96" s="34">
        <v>1E-4</v>
      </c>
      <c r="G96" s="34">
        <v>0.05</v>
      </c>
      <c r="H96" s="34">
        <v>0.22443746914763296</v>
      </c>
      <c r="I96" s="34">
        <v>6.8390068182471175E-3</v>
      </c>
      <c r="J96" s="34">
        <f t="shared" si="24"/>
        <v>5.3326529279202423E-2</v>
      </c>
    </row>
    <row r="97" spans="4:10" x14ac:dyDescent="0.25">
      <c r="E97" s="48">
        <v>50</v>
      </c>
      <c r="F97" s="34">
        <v>0</v>
      </c>
      <c r="G97" s="34">
        <v>0.02</v>
      </c>
      <c r="H97" s="34">
        <v>9.6669388306683701E-2</v>
      </c>
      <c r="I97" s="34">
        <v>2.7412359324094915E-3</v>
      </c>
      <c r="J97" s="34">
        <f t="shared" si="24"/>
        <v>2.1374536112584774E-2</v>
      </c>
    </row>
    <row r="98" spans="4:10" x14ac:dyDescent="0.25">
      <c r="D98" t="s">
        <v>4586</v>
      </c>
    </row>
    <row r="99" spans="4:10" ht="105" x14ac:dyDescent="0.25">
      <c r="E99" s="42" t="s">
        <v>1776</v>
      </c>
      <c r="F99" s="42" t="s">
        <v>4587</v>
      </c>
      <c r="G99" s="42" t="s">
        <v>4588</v>
      </c>
      <c r="H99" s="42" t="s">
        <v>4589</v>
      </c>
      <c r="I99" s="42" t="s">
        <v>4590</v>
      </c>
      <c r="J99" s="42"/>
    </row>
    <row r="100" spans="4:10" x14ac:dyDescent="0.25">
      <c r="E100" s="48">
        <v>1E-4</v>
      </c>
      <c r="F100" s="80">
        <f>1/F87</f>
        <v>1</v>
      </c>
      <c r="G100" s="31">
        <f t="shared" ref="G100:I100" si="25">1/G87</f>
        <v>1</v>
      </c>
      <c r="H100" s="80">
        <f t="shared" si="25"/>
        <v>1</v>
      </c>
      <c r="I100" s="80">
        <f t="shared" si="25"/>
        <v>1</v>
      </c>
      <c r="J100" s="80"/>
    </row>
    <row r="101" spans="4:10" x14ac:dyDescent="0.25">
      <c r="E101" s="48">
        <v>1</v>
      </c>
      <c r="F101" s="80">
        <f t="shared" ref="F101:I110" si="26">1/F88</f>
        <v>1.5873015873015872</v>
      </c>
      <c r="G101" s="31">
        <f t="shared" si="26"/>
        <v>1</v>
      </c>
      <c r="H101" s="80">
        <f t="shared" si="26"/>
        <v>1.0062378804364926</v>
      </c>
      <c r="I101" s="80">
        <f t="shared" si="26"/>
        <v>7.7974084097887131</v>
      </c>
      <c r="J101" s="80"/>
    </row>
    <row r="102" spans="4:10" x14ac:dyDescent="0.25">
      <c r="E102" s="48">
        <v>2</v>
      </c>
      <c r="F102" s="80">
        <f t="shared" si="26"/>
        <v>2.5</v>
      </c>
      <c r="G102" s="31">
        <f t="shared" si="26"/>
        <v>2</v>
      </c>
      <c r="H102" s="80">
        <f t="shared" si="26"/>
        <v>1.0854640856266489</v>
      </c>
      <c r="I102" s="80">
        <f t="shared" si="26"/>
        <v>15.077667299365029</v>
      </c>
      <c r="J102" s="80"/>
    </row>
    <row r="103" spans="4:10" x14ac:dyDescent="0.25">
      <c r="E103" s="48">
        <v>4</v>
      </c>
      <c r="F103" s="80">
        <f t="shared" si="26"/>
        <v>6.25</v>
      </c>
      <c r="G103" s="31">
        <f t="shared" si="26"/>
        <v>4</v>
      </c>
      <c r="H103" s="80">
        <f t="shared" si="26"/>
        <v>1.390042803791014</v>
      </c>
      <c r="I103" s="80">
        <f t="shared" si="26"/>
        <v>29.646757315250586</v>
      </c>
      <c r="J103" s="80"/>
    </row>
    <row r="104" spans="4:10" x14ac:dyDescent="0.25">
      <c r="E104" s="48">
        <v>6</v>
      </c>
      <c r="F104" s="80">
        <f t="shared" si="26"/>
        <v>16.666666666666668</v>
      </c>
      <c r="G104" s="31">
        <f t="shared" si="26"/>
        <v>5.8823529411764701</v>
      </c>
      <c r="H104" s="80">
        <f t="shared" si="26"/>
        <v>1.7500992844786105</v>
      </c>
      <c r="I104" s="80">
        <f t="shared" si="26"/>
        <v>44.217753227911068</v>
      </c>
      <c r="J104" s="80"/>
    </row>
    <row r="105" spans="4:10" x14ac:dyDescent="0.25">
      <c r="E105" s="48">
        <v>8</v>
      </c>
      <c r="F105" s="80">
        <f t="shared" si="26"/>
        <v>50</v>
      </c>
      <c r="G105" s="31">
        <f t="shared" si="26"/>
        <v>7.6923076923076916</v>
      </c>
      <c r="H105" s="80">
        <f t="shared" si="26"/>
        <v>2.1263689493136142</v>
      </c>
      <c r="I105" s="80">
        <f t="shared" si="26"/>
        <v>58.789225673200519</v>
      </c>
      <c r="J105" s="80"/>
    </row>
    <row r="106" spans="4:10" x14ac:dyDescent="0.25">
      <c r="E106" s="48">
        <v>10</v>
      </c>
      <c r="F106" s="80">
        <f t="shared" si="26"/>
        <v>100</v>
      </c>
      <c r="G106" s="31">
        <f t="shared" si="26"/>
        <v>10</v>
      </c>
      <c r="H106" s="80">
        <f t="shared" si="26"/>
        <v>2.5093929039497525</v>
      </c>
      <c r="I106" s="80">
        <f t="shared" si="26"/>
        <v>73.360888737301934</v>
      </c>
      <c r="J106" s="80"/>
    </row>
    <row r="107" spans="4:10" x14ac:dyDescent="0.25">
      <c r="E107" s="48">
        <v>12</v>
      </c>
      <c r="F107" s="80">
        <f t="shared" si="26"/>
        <v>256.41025641025641</v>
      </c>
      <c r="G107" s="31">
        <f t="shared" si="26"/>
        <v>12.5</v>
      </c>
      <c r="H107" s="80">
        <f t="shared" si="26"/>
        <v>2.8958515356454728</v>
      </c>
      <c r="I107" s="80">
        <f t="shared" si="26"/>
        <v>87.932647111993205</v>
      </c>
      <c r="J107" s="80"/>
    </row>
    <row r="108" spans="4:10" x14ac:dyDescent="0.25">
      <c r="E108" s="48">
        <v>15</v>
      </c>
      <c r="F108" s="80">
        <f t="shared" si="26"/>
        <v>1000</v>
      </c>
      <c r="G108" s="31">
        <f t="shared" si="26"/>
        <v>14.285714285714285</v>
      </c>
      <c r="H108" s="80">
        <f t="shared" si="26"/>
        <v>3.479006504808317</v>
      </c>
      <c r="I108" s="80">
        <f t="shared" si="26"/>
        <v>109.79037998527444</v>
      </c>
      <c r="J108" s="80"/>
    </row>
    <row r="109" spans="4:10" x14ac:dyDescent="0.25">
      <c r="E109" s="48">
        <v>20</v>
      </c>
      <c r="F109" s="80">
        <f t="shared" si="26"/>
        <v>10000</v>
      </c>
      <c r="G109" s="31">
        <f t="shared" si="26"/>
        <v>20</v>
      </c>
      <c r="H109" s="80">
        <f t="shared" si="26"/>
        <v>4.4555840154399933</v>
      </c>
      <c r="I109" s="80">
        <f t="shared" si="26"/>
        <v>146.2200618563364</v>
      </c>
      <c r="J109" s="80"/>
    </row>
    <row r="110" spans="4:10" x14ac:dyDescent="0.25">
      <c r="E110" s="48">
        <v>50</v>
      </c>
      <c r="F110" s="80" t="s">
        <v>290</v>
      </c>
      <c r="G110" s="31">
        <f t="shared" si="26"/>
        <v>50</v>
      </c>
      <c r="H110" s="80">
        <f t="shared" si="26"/>
        <v>10.344536336854635</v>
      </c>
      <c r="I110" s="80">
        <f t="shared" si="26"/>
        <v>364.79895370444092</v>
      </c>
      <c r="J110" s="80"/>
    </row>
  </sheetData>
  <pageMargins left="0.7" right="0.7" top="0.75" bottom="0.7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30CDF-28D6-47A2-B18D-68792E69B3C8}">
  <dimension ref="A1:N103"/>
  <sheetViews>
    <sheetView workbookViewId="0">
      <selection activeCell="F2" sqref="F2"/>
    </sheetView>
  </sheetViews>
  <sheetFormatPr defaultRowHeight="12.75" x14ac:dyDescent="0.2"/>
  <cols>
    <col min="1" max="1" width="36.140625" style="246" customWidth="1"/>
    <col min="2" max="2" width="10.7109375" style="246" customWidth="1"/>
    <col min="3" max="3" width="11.140625" style="246" customWidth="1"/>
    <col min="4" max="4" width="11.28515625" style="246" bestFit="1" customWidth="1"/>
    <col min="5" max="5" width="11.42578125" style="246" customWidth="1"/>
    <col min="6" max="6" width="10.140625" style="246" bestFit="1" customWidth="1"/>
    <col min="7" max="7" width="11.28515625" style="246" bestFit="1" customWidth="1"/>
    <col min="8" max="8" width="10.140625" style="246" bestFit="1" customWidth="1"/>
    <col min="9" max="9" width="10.140625" style="246" customWidth="1"/>
    <col min="10" max="10" width="9.140625" style="246"/>
    <col min="11" max="11" width="9.28515625" style="246" bestFit="1" customWidth="1"/>
    <col min="12" max="12" width="12.5703125" style="246" customWidth="1"/>
    <col min="13" max="13" width="10.5703125" style="246" customWidth="1"/>
    <col min="14" max="14" width="10.42578125" style="246" customWidth="1"/>
    <col min="15" max="16384" width="9.140625" style="246"/>
  </cols>
  <sheetData>
    <row r="1" spans="1:12" x14ac:dyDescent="0.2">
      <c r="A1" s="305" t="s">
        <v>3509</v>
      </c>
      <c r="B1" s="246" t="s">
        <v>3537</v>
      </c>
    </row>
    <row r="2" spans="1:12" ht="15" x14ac:dyDescent="0.25">
      <c r="A2" t="s">
        <v>3645</v>
      </c>
    </row>
    <row r="3" spans="1:12" s="320" customFormat="1" ht="25.5" x14ac:dyDescent="0.25">
      <c r="A3" s="320" t="s">
        <v>3503</v>
      </c>
      <c r="B3" s="320" t="s">
        <v>3536</v>
      </c>
      <c r="C3" s="320" t="s">
        <v>3536</v>
      </c>
      <c r="D3" s="320" t="s">
        <v>3536</v>
      </c>
      <c r="E3" s="320" t="s">
        <v>3536</v>
      </c>
      <c r="F3" s="320" t="s">
        <v>3511</v>
      </c>
      <c r="I3" s="320" t="s">
        <v>3518</v>
      </c>
      <c r="J3" s="320" t="s">
        <v>3519</v>
      </c>
      <c r="K3" s="320" t="s">
        <v>861</v>
      </c>
      <c r="L3" s="320" t="s">
        <v>3520</v>
      </c>
    </row>
    <row r="4" spans="1:12" x14ac:dyDescent="0.2">
      <c r="A4" s="246" t="s">
        <v>3510</v>
      </c>
      <c r="B4" s="246">
        <v>750</v>
      </c>
      <c r="C4" s="246">
        <v>1000</v>
      </c>
      <c r="D4" s="246">
        <v>1250</v>
      </c>
      <c r="E4" s="246">
        <v>1500</v>
      </c>
      <c r="F4" s="246" t="s">
        <v>3512</v>
      </c>
      <c r="I4" s="246">
        <v>6</v>
      </c>
      <c r="J4" s="246" t="s">
        <v>3521</v>
      </c>
      <c r="K4" s="246">
        <v>120</v>
      </c>
      <c r="L4" s="246" t="s">
        <v>2046</v>
      </c>
    </row>
    <row r="5" spans="1:12" x14ac:dyDescent="0.2">
      <c r="A5" s="246" t="s">
        <v>3504</v>
      </c>
      <c r="B5" s="246">
        <v>69</v>
      </c>
      <c r="C5" s="246">
        <v>81</v>
      </c>
      <c r="D5" s="246">
        <v>93</v>
      </c>
      <c r="E5" s="246">
        <v>105</v>
      </c>
      <c r="F5" s="246" t="s">
        <v>3512</v>
      </c>
      <c r="I5" s="246">
        <v>5</v>
      </c>
      <c r="J5" s="246" t="s">
        <v>3521</v>
      </c>
      <c r="K5" s="246">
        <v>50</v>
      </c>
      <c r="L5" s="246" t="s">
        <v>3522</v>
      </c>
    </row>
    <row r="6" spans="1:12" x14ac:dyDescent="0.2">
      <c r="A6" s="246" t="s">
        <v>3513</v>
      </c>
      <c r="B6" s="246">
        <f>B5/12</f>
        <v>5.75</v>
      </c>
      <c r="C6" s="246">
        <f t="shared" ref="C6:E6" si="0">C5/12</f>
        <v>6.75</v>
      </c>
      <c r="D6" s="246">
        <f t="shared" si="0"/>
        <v>7.75</v>
      </c>
      <c r="E6" s="246">
        <f t="shared" si="0"/>
        <v>8.75</v>
      </c>
      <c r="I6" s="246">
        <v>4</v>
      </c>
      <c r="J6" s="246" t="s">
        <v>3523</v>
      </c>
      <c r="K6" s="246">
        <v>24</v>
      </c>
      <c r="L6" s="246" t="s">
        <v>3524</v>
      </c>
    </row>
    <row r="7" spans="1:12" x14ac:dyDescent="0.2">
      <c r="A7" s="246" t="s">
        <v>3505</v>
      </c>
      <c r="B7" s="301">
        <v>16.625</v>
      </c>
      <c r="C7" s="301">
        <v>16.625</v>
      </c>
      <c r="D7" s="301">
        <v>16.625</v>
      </c>
      <c r="E7" s="301">
        <v>16.625</v>
      </c>
      <c r="F7" s="246" t="s">
        <v>3512</v>
      </c>
      <c r="I7" s="246">
        <v>3</v>
      </c>
      <c r="J7" s="246" t="s">
        <v>3523</v>
      </c>
      <c r="K7" s="246">
        <v>10</v>
      </c>
      <c r="L7" s="246" t="s">
        <v>3525</v>
      </c>
    </row>
    <row r="8" spans="1:12" x14ac:dyDescent="0.2">
      <c r="A8" s="246" t="s">
        <v>3506</v>
      </c>
      <c r="B8" s="301">
        <v>21.25</v>
      </c>
      <c r="C8" s="301">
        <v>21.25</v>
      </c>
      <c r="D8" s="301">
        <v>21.25</v>
      </c>
      <c r="E8" s="301">
        <v>21.25</v>
      </c>
      <c r="F8" s="246" t="s">
        <v>3512</v>
      </c>
      <c r="I8" s="246">
        <v>2</v>
      </c>
      <c r="J8" s="246" t="s">
        <v>3526</v>
      </c>
      <c r="K8" s="246">
        <v>4</v>
      </c>
      <c r="L8" s="246" t="s">
        <v>2042</v>
      </c>
    </row>
    <row r="9" spans="1:12" x14ac:dyDescent="0.2">
      <c r="A9" s="246" t="s">
        <v>3507</v>
      </c>
      <c r="B9" s="246">
        <v>30</v>
      </c>
      <c r="C9" s="246">
        <v>30</v>
      </c>
      <c r="D9" s="246">
        <v>30</v>
      </c>
      <c r="E9" s="246">
        <v>30</v>
      </c>
      <c r="F9" s="246" t="s">
        <v>3512</v>
      </c>
      <c r="I9" s="246">
        <v>1</v>
      </c>
      <c r="J9" s="246" t="s">
        <v>3527</v>
      </c>
      <c r="K9" s="246">
        <v>1</v>
      </c>
      <c r="L9" s="246" t="s">
        <v>3528</v>
      </c>
    </row>
    <row r="10" spans="1:12" x14ac:dyDescent="0.2">
      <c r="A10" s="246" t="s">
        <v>3508</v>
      </c>
      <c r="B10" s="246">
        <v>320</v>
      </c>
      <c r="C10" s="246">
        <v>405</v>
      </c>
      <c r="D10" s="246">
        <v>450</v>
      </c>
      <c r="E10" s="246">
        <v>470</v>
      </c>
      <c r="F10" s="246" t="s">
        <v>3512</v>
      </c>
      <c r="I10" s="246">
        <v>0</v>
      </c>
      <c r="J10" s="246" t="s">
        <v>3527</v>
      </c>
      <c r="K10" s="246">
        <v>0</v>
      </c>
      <c r="L10" s="246" t="s">
        <v>3529</v>
      </c>
    </row>
    <row r="12" spans="1:12" s="321" customFormat="1" x14ac:dyDescent="0.25">
      <c r="A12" s="321" t="s">
        <v>3516</v>
      </c>
      <c r="B12" s="321" t="s">
        <v>3514</v>
      </c>
      <c r="C12" s="321" t="s">
        <v>3515</v>
      </c>
      <c r="D12" s="321" t="s">
        <v>1414</v>
      </c>
      <c r="E12" s="321" t="s">
        <v>1776</v>
      </c>
      <c r="F12" s="321" t="s">
        <v>3411</v>
      </c>
      <c r="G12" s="321" t="s">
        <v>3517</v>
      </c>
    </row>
    <row r="13" spans="1:12" x14ac:dyDescent="0.2">
      <c r="A13" s="246" t="s">
        <v>242</v>
      </c>
      <c r="B13" s="246">
        <v>1500</v>
      </c>
      <c r="C13" s="246">
        <v>1</v>
      </c>
      <c r="D13" s="246">
        <f>30*30*10</f>
        <v>9000</v>
      </c>
      <c r="E13" s="246">
        <f>B13*C13*60/D13</f>
        <v>10</v>
      </c>
      <c r="F13" s="246">
        <v>3</v>
      </c>
      <c r="G13" s="246">
        <f>C13*8.75</f>
        <v>8.75</v>
      </c>
    </row>
    <row r="14" spans="1:12" x14ac:dyDescent="0.2">
      <c r="A14" s="246" t="s">
        <v>244</v>
      </c>
      <c r="B14" s="246">
        <v>1500</v>
      </c>
      <c r="C14" s="246">
        <v>2</v>
      </c>
      <c r="D14" s="246">
        <f t="shared" ref="D14:D15" si="1">30*30*10</f>
        <v>9000</v>
      </c>
      <c r="E14" s="246">
        <f t="shared" ref="E14:E15" si="2">B14*C14*60/D14</f>
        <v>20</v>
      </c>
      <c r="F14" s="246">
        <v>3</v>
      </c>
      <c r="G14" s="246">
        <f t="shared" ref="G14:G15" si="3">C14*8.75</f>
        <v>17.5</v>
      </c>
    </row>
    <row r="15" spans="1:12" x14ac:dyDescent="0.2">
      <c r="A15" s="246" t="s">
        <v>247</v>
      </c>
      <c r="B15" s="246">
        <v>1500</v>
      </c>
      <c r="C15" s="246">
        <v>3</v>
      </c>
      <c r="D15" s="246">
        <f t="shared" si="1"/>
        <v>9000</v>
      </c>
      <c r="E15" s="246">
        <f t="shared" si="2"/>
        <v>30</v>
      </c>
      <c r="F15" s="246">
        <v>4</v>
      </c>
      <c r="G15" s="246">
        <f t="shared" si="3"/>
        <v>26.25</v>
      </c>
    </row>
    <row r="16" spans="1:12" s="318" customFormat="1" x14ac:dyDescent="0.2"/>
    <row r="18" spans="1:14" x14ac:dyDescent="0.2">
      <c r="A18" s="305" t="s">
        <v>3530</v>
      </c>
    </row>
    <row r="19" spans="1:14" x14ac:dyDescent="0.2">
      <c r="A19" s="305"/>
    </row>
    <row r="20" spans="1:14" x14ac:dyDescent="0.2">
      <c r="A20" s="246" t="s">
        <v>3646</v>
      </c>
    </row>
    <row r="21" spans="1:14" x14ac:dyDescent="0.2">
      <c r="A21" s="246" t="s">
        <v>3649</v>
      </c>
    </row>
    <row r="22" spans="1:14" s="320" customFormat="1" ht="76.5" x14ac:dyDescent="0.25">
      <c r="A22" s="322" t="s">
        <v>3650</v>
      </c>
      <c r="B22" s="320" t="s">
        <v>384</v>
      </c>
      <c r="C22" s="320" t="s">
        <v>3539</v>
      </c>
      <c r="D22" s="320" t="s">
        <v>3540</v>
      </c>
      <c r="E22" s="320" t="s">
        <v>3541</v>
      </c>
      <c r="F22" s="320" t="s">
        <v>3542</v>
      </c>
      <c r="G22" s="320" t="s">
        <v>3543</v>
      </c>
      <c r="H22" s="320" t="s">
        <v>3544</v>
      </c>
      <c r="I22" s="320" t="s">
        <v>3545</v>
      </c>
      <c r="J22" s="320" t="s">
        <v>3546</v>
      </c>
      <c r="K22" s="320" t="s">
        <v>3547</v>
      </c>
      <c r="L22" s="320" t="s">
        <v>3548</v>
      </c>
      <c r="M22" s="320" t="s">
        <v>3531</v>
      </c>
      <c r="N22" s="320" t="s">
        <v>388</v>
      </c>
    </row>
    <row r="23" spans="1:14" x14ac:dyDescent="0.2">
      <c r="A23" s="246" t="s">
        <v>3647</v>
      </c>
      <c r="B23" s="302">
        <v>50000000</v>
      </c>
      <c r="C23" s="246">
        <v>15</v>
      </c>
      <c r="D23" s="246">
        <v>3</v>
      </c>
      <c r="E23" s="302">
        <f>D23*B23/C23</f>
        <v>10000000</v>
      </c>
      <c r="F23" s="302">
        <f>E23*0.99</f>
        <v>9900000</v>
      </c>
      <c r="G23" s="246">
        <v>1</v>
      </c>
      <c r="H23" s="302">
        <f>F23/G23</f>
        <v>9900000</v>
      </c>
      <c r="I23" s="302">
        <f>H23/D23</f>
        <v>3300000</v>
      </c>
      <c r="J23" s="246">
        <v>9000</v>
      </c>
      <c r="K23" s="302">
        <f>I23/J23</f>
        <v>366.66666666666669</v>
      </c>
      <c r="L23" s="246">
        <v>367</v>
      </c>
      <c r="M23" s="302">
        <f>K23*(60/D23)/L23</f>
        <v>19.981834695731155</v>
      </c>
      <c r="N23" s="246" t="s">
        <v>3538</v>
      </c>
    </row>
    <row r="24" spans="1:14" x14ac:dyDescent="0.2">
      <c r="A24" s="246" t="s">
        <v>3647</v>
      </c>
      <c r="B24" s="302">
        <v>50000000</v>
      </c>
      <c r="C24" s="246">
        <v>15</v>
      </c>
      <c r="D24" s="246">
        <v>3</v>
      </c>
      <c r="E24" s="302">
        <f t="shared" ref="E24:E27" si="4">D24*B24/C24</f>
        <v>10000000</v>
      </c>
      <c r="F24" s="302">
        <f t="shared" ref="F24:F27" si="5">E24*0.99</f>
        <v>9900000</v>
      </c>
      <c r="G24" s="246">
        <v>1</v>
      </c>
      <c r="H24" s="302">
        <f t="shared" ref="H24:H27" si="6">F24/G24</f>
        <v>9900000</v>
      </c>
      <c r="I24" s="302">
        <f t="shared" ref="I24:I27" si="7">H24/D24</f>
        <v>3300000</v>
      </c>
      <c r="J24" s="246">
        <v>9000</v>
      </c>
      <c r="K24" s="302">
        <f t="shared" ref="K24:K27" si="8">I24/J24</f>
        <v>366.66666666666669</v>
      </c>
      <c r="L24" s="246">
        <v>500</v>
      </c>
      <c r="M24" s="302">
        <f t="shared" ref="M24:M27" si="9">K24*(60/D24)/L24</f>
        <v>14.666666666666668</v>
      </c>
      <c r="N24" s="246" t="s">
        <v>3538</v>
      </c>
    </row>
    <row r="25" spans="1:14" x14ac:dyDescent="0.2">
      <c r="A25" s="246" t="s">
        <v>3647</v>
      </c>
      <c r="B25" s="302">
        <v>50000000</v>
      </c>
      <c r="C25" s="246">
        <v>15</v>
      </c>
      <c r="D25" s="246">
        <v>3</v>
      </c>
      <c r="E25" s="302">
        <f t="shared" si="4"/>
        <v>10000000</v>
      </c>
      <c r="F25" s="302">
        <f t="shared" si="5"/>
        <v>9900000</v>
      </c>
      <c r="G25" s="246">
        <v>1</v>
      </c>
      <c r="H25" s="302">
        <f t="shared" si="6"/>
        <v>9900000</v>
      </c>
      <c r="I25" s="302">
        <f t="shared" si="7"/>
        <v>3300000</v>
      </c>
      <c r="J25" s="246">
        <v>9000</v>
      </c>
      <c r="K25" s="302">
        <f t="shared" si="8"/>
        <v>366.66666666666669</v>
      </c>
      <c r="L25" s="246">
        <v>1000</v>
      </c>
      <c r="M25" s="302">
        <f t="shared" si="9"/>
        <v>7.3333333333333339</v>
      </c>
      <c r="N25" s="246" t="s">
        <v>3538</v>
      </c>
    </row>
    <row r="26" spans="1:14" x14ac:dyDescent="0.2">
      <c r="A26" s="246" t="s">
        <v>3647</v>
      </c>
      <c r="B26" s="302">
        <v>50000000</v>
      </c>
      <c r="C26" s="246">
        <v>15</v>
      </c>
      <c r="D26" s="246">
        <v>3</v>
      </c>
      <c r="E26" s="302">
        <f t="shared" si="4"/>
        <v>10000000</v>
      </c>
      <c r="F26" s="302">
        <f t="shared" si="5"/>
        <v>9900000</v>
      </c>
      <c r="G26" s="246">
        <v>1</v>
      </c>
      <c r="H26" s="302">
        <f t="shared" si="6"/>
        <v>9900000</v>
      </c>
      <c r="I26" s="302">
        <f t="shared" si="7"/>
        <v>3300000</v>
      </c>
      <c r="J26" s="246">
        <v>9000</v>
      </c>
      <c r="K26" s="302">
        <f t="shared" si="8"/>
        <v>366.66666666666669</v>
      </c>
      <c r="L26" s="246">
        <v>2000</v>
      </c>
      <c r="M26" s="302">
        <f t="shared" si="9"/>
        <v>3.666666666666667</v>
      </c>
      <c r="N26" s="246" t="s">
        <v>3538</v>
      </c>
    </row>
    <row r="27" spans="1:14" x14ac:dyDescent="0.2">
      <c r="A27" s="246" t="s">
        <v>3647</v>
      </c>
      <c r="B27" s="302">
        <v>50000000</v>
      </c>
      <c r="C27" s="246">
        <v>15</v>
      </c>
      <c r="D27" s="246">
        <v>3</v>
      </c>
      <c r="E27" s="302">
        <f t="shared" si="4"/>
        <v>10000000</v>
      </c>
      <c r="F27" s="302">
        <f t="shared" si="5"/>
        <v>9900000</v>
      </c>
      <c r="G27" s="246">
        <v>1</v>
      </c>
      <c r="H27" s="302">
        <f t="shared" si="6"/>
        <v>9900000</v>
      </c>
      <c r="I27" s="302">
        <f t="shared" si="7"/>
        <v>3300000</v>
      </c>
      <c r="J27" s="246">
        <v>9000</v>
      </c>
      <c r="K27" s="302">
        <f t="shared" si="8"/>
        <v>366.66666666666669</v>
      </c>
      <c r="L27" s="246">
        <v>3000</v>
      </c>
      <c r="M27" s="302">
        <f t="shared" si="9"/>
        <v>2.4444444444444446</v>
      </c>
      <c r="N27" s="246" t="s">
        <v>3538</v>
      </c>
    </row>
    <row r="28" spans="1:14" x14ac:dyDescent="0.2">
      <c r="B28" s="302"/>
      <c r="E28" s="302"/>
      <c r="F28" s="302"/>
      <c r="H28" s="302"/>
      <c r="I28" s="302"/>
      <c r="K28" s="302"/>
      <c r="M28" s="302"/>
    </row>
    <row r="29" spans="1:14" x14ac:dyDescent="0.2">
      <c r="B29" s="302"/>
      <c r="E29" s="302"/>
      <c r="F29" s="302"/>
      <c r="H29" s="302"/>
      <c r="I29" s="302"/>
      <c r="K29" s="302"/>
      <c r="M29" s="302"/>
    </row>
    <row r="31" spans="1:14" s="320" customFormat="1" ht="51" x14ac:dyDescent="0.25">
      <c r="A31" s="319" t="s">
        <v>3560</v>
      </c>
      <c r="B31" s="320" t="s">
        <v>3549</v>
      </c>
      <c r="C31" s="320" t="s">
        <v>3550</v>
      </c>
      <c r="D31" s="320" t="s">
        <v>3551</v>
      </c>
      <c r="E31" s="320" t="s">
        <v>3546</v>
      </c>
      <c r="F31" s="320" t="s">
        <v>3557</v>
      </c>
      <c r="G31" s="320" t="s">
        <v>3556</v>
      </c>
      <c r="H31" s="320" t="s">
        <v>3534</v>
      </c>
      <c r="I31" s="320" t="s">
        <v>388</v>
      </c>
    </row>
    <row r="32" spans="1:14" x14ac:dyDescent="0.2">
      <c r="A32" s="246" t="s">
        <v>3647</v>
      </c>
      <c r="B32" s="246">
        <v>5.3</v>
      </c>
      <c r="C32" s="246">
        <v>3</v>
      </c>
      <c r="D32" s="246">
        <f>60/C32</f>
        <v>20</v>
      </c>
      <c r="E32" s="246">
        <v>9000</v>
      </c>
      <c r="F32" s="246">
        <f>B32/E32</f>
        <v>5.888888888888889E-4</v>
      </c>
      <c r="G32" s="246">
        <f>D32*F32</f>
        <v>1.1777777777777778E-2</v>
      </c>
      <c r="H32" s="302">
        <v>10000000</v>
      </c>
      <c r="I32" s="246" t="s">
        <v>3533</v>
      </c>
    </row>
    <row r="35" spans="1:13" s="320" customFormat="1" ht="63.75" x14ac:dyDescent="0.25">
      <c r="A35" s="319" t="s">
        <v>3561</v>
      </c>
      <c r="B35" s="320" t="s">
        <v>3549</v>
      </c>
      <c r="C35" s="320" t="s">
        <v>3550</v>
      </c>
      <c r="D35" s="320" t="s">
        <v>3551</v>
      </c>
      <c r="E35" s="320" t="s">
        <v>3546</v>
      </c>
      <c r="F35" s="320" t="s">
        <v>3557</v>
      </c>
      <c r="G35" s="320" t="s">
        <v>3532</v>
      </c>
      <c r="H35" s="320" t="s">
        <v>3534</v>
      </c>
      <c r="I35" s="320" t="s">
        <v>3552</v>
      </c>
      <c r="J35" s="320" t="s">
        <v>3553</v>
      </c>
      <c r="K35" s="320" t="s">
        <v>3554</v>
      </c>
      <c r="L35" s="320" t="s">
        <v>3555</v>
      </c>
      <c r="M35" s="320" t="s">
        <v>388</v>
      </c>
    </row>
    <row r="36" spans="1:13" x14ac:dyDescent="0.2">
      <c r="A36" s="246" t="s">
        <v>3647</v>
      </c>
      <c r="B36" s="246">
        <v>5.3</v>
      </c>
      <c r="C36" s="246">
        <v>3</v>
      </c>
      <c r="D36" s="246">
        <f t="shared" ref="D36:D41" si="10">60/C36</f>
        <v>20</v>
      </c>
      <c r="E36" s="246">
        <v>9000</v>
      </c>
      <c r="F36" s="246">
        <f t="shared" ref="F36:F41" si="11">B36/E36</f>
        <v>5.888888888888889E-4</v>
      </c>
      <c r="G36" s="246">
        <f t="shared" ref="G36:G41" si="12">D36*F36</f>
        <v>1.1777777777777778E-2</v>
      </c>
      <c r="H36" s="302">
        <v>10000000</v>
      </c>
      <c r="I36" s="246">
        <v>3000</v>
      </c>
      <c r="J36" s="303">
        <f t="shared" ref="J36:J41" si="13">H36/I36</f>
        <v>3333.3333333333335</v>
      </c>
      <c r="K36" s="304">
        <v>1</v>
      </c>
      <c r="L36" s="303">
        <f t="shared" ref="L36:L41" si="14">G36*K36*J36</f>
        <v>39.25925925925926</v>
      </c>
      <c r="M36" s="246" t="s">
        <v>3535</v>
      </c>
    </row>
    <row r="37" spans="1:13" x14ac:dyDescent="0.2">
      <c r="A37" s="246" t="s">
        <v>3647</v>
      </c>
      <c r="B37" s="246">
        <v>5.3</v>
      </c>
      <c r="C37" s="246">
        <v>3</v>
      </c>
      <c r="D37" s="246">
        <f t="shared" si="10"/>
        <v>20</v>
      </c>
      <c r="E37" s="246">
        <v>9000</v>
      </c>
      <c r="F37" s="246">
        <f t="shared" si="11"/>
        <v>5.888888888888889E-4</v>
      </c>
      <c r="G37" s="246">
        <f t="shared" si="12"/>
        <v>1.1777777777777778E-2</v>
      </c>
      <c r="H37" s="302">
        <v>10000000</v>
      </c>
      <c r="I37" s="246">
        <v>6000</v>
      </c>
      <c r="J37" s="303">
        <f t="shared" si="13"/>
        <v>1666.6666666666667</v>
      </c>
      <c r="K37" s="304">
        <v>1</v>
      </c>
      <c r="L37" s="303">
        <f t="shared" si="14"/>
        <v>19.62962962962963</v>
      </c>
      <c r="M37" s="246" t="s">
        <v>3535</v>
      </c>
    </row>
    <row r="38" spans="1:13" x14ac:dyDescent="0.2">
      <c r="A38" s="246" t="s">
        <v>3647</v>
      </c>
      <c r="B38" s="246">
        <v>5.3</v>
      </c>
      <c r="C38" s="246">
        <v>3</v>
      </c>
      <c r="D38" s="246">
        <f t="shared" si="10"/>
        <v>20</v>
      </c>
      <c r="E38" s="246">
        <v>9000</v>
      </c>
      <c r="F38" s="246">
        <f t="shared" si="11"/>
        <v>5.888888888888889E-4</v>
      </c>
      <c r="G38" s="246">
        <f t="shared" si="12"/>
        <v>1.1777777777777778E-2</v>
      </c>
      <c r="H38" s="302">
        <v>10000000</v>
      </c>
      <c r="I38" s="246">
        <v>3000</v>
      </c>
      <c r="J38" s="303">
        <f t="shared" si="13"/>
        <v>3333.3333333333335</v>
      </c>
      <c r="K38" s="304">
        <v>0.5</v>
      </c>
      <c r="L38" s="303">
        <f t="shared" si="14"/>
        <v>19.62962962962963</v>
      </c>
      <c r="M38" s="246" t="s">
        <v>3567</v>
      </c>
    </row>
    <row r="39" spans="1:13" x14ac:dyDescent="0.2">
      <c r="A39" s="246" t="s">
        <v>3647</v>
      </c>
      <c r="B39" s="246">
        <v>5.3</v>
      </c>
      <c r="C39" s="246">
        <v>3</v>
      </c>
      <c r="D39" s="246">
        <f t="shared" si="10"/>
        <v>20</v>
      </c>
      <c r="E39" s="246">
        <v>9000</v>
      </c>
      <c r="F39" s="246">
        <f t="shared" si="11"/>
        <v>5.888888888888889E-4</v>
      </c>
      <c r="G39" s="246">
        <f t="shared" si="12"/>
        <v>1.1777777777777778E-2</v>
      </c>
      <c r="H39" s="302">
        <v>10000000</v>
      </c>
      <c r="I39" s="246">
        <v>6000</v>
      </c>
      <c r="J39" s="303">
        <f t="shared" si="13"/>
        <v>1666.6666666666667</v>
      </c>
      <c r="K39" s="304">
        <v>0.5</v>
      </c>
      <c r="L39" s="303">
        <f t="shared" si="14"/>
        <v>9.8148148148148149</v>
      </c>
    </row>
    <row r="40" spans="1:13" x14ac:dyDescent="0.2">
      <c r="A40" s="246" t="s">
        <v>3647</v>
      </c>
      <c r="B40" s="246">
        <v>5.3</v>
      </c>
      <c r="C40" s="246">
        <v>3</v>
      </c>
      <c r="D40" s="246">
        <f t="shared" si="10"/>
        <v>20</v>
      </c>
      <c r="E40" s="246">
        <v>9000</v>
      </c>
      <c r="F40" s="246">
        <f t="shared" si="11"/>
        <v>5.888888888888889E-4</v>
      </c>
      <c r="G40" s="246">
        <f t="shared" si="12"/>
        <v>1.1777777777777778E-2</v>
      </c>
      <c r="H40" s="302">
        <v>10000000</v>
      </c>
      <c r="I40" s="246">
        <v>3000</v>
      </c>
      <c r="J40" s="303">
        <f t="shared" si="13"/>
        <v>3333.3333333333335</v>
      </c>
      <c r="K40" s="304">
        <v>0.1</v>
      </c>
      <c r="L40" s="303">
        <f t="shared" si="14"/>
        <v>3.925925925925926</v>
      </c>
    </row>
    <row r="41" spans="1:13" x14ac:dyDescent="0.2">
      <c r="A41" s="246" t="s">
        <v>3647</v>
      </c>
      <c r="B41" s="246">
        <v>5.3</v>
      </c>
      <c r="C41" s="246">
        <v>3</v>
      </c>
      <c r="D41" s="246">
        <f t="shared" si="10"/>
        <v>20</v>
      </c>
      <c r="E41" s="246">
        <v>9000</v>
      </c>
      <c r="F41" s="246">
        <f t="shared" si="11"/>
        <v>5.888888888888889E-4</v>
      </c>
      <c r="G41" s="246">
        <f t="shared" si="12"/>
        <v>1.1777777777777778E-2</v>
      </c>
      <c r="H41" s="302">
        <v>10000000</v>
      </c>
      <c r="I41" s="246">
        <v>6000</v>
      </c>
      <c r="J41" s="303">
        <f t="shared" si="13"/>
        <v>1666.6666666666667</v>
      </c>
      <c r="K41" s="304">
        <v>0.1</v>
      </c>
      <c r="L41" s="303">
        <f t="shared" si="14"/>
        <v>1.962962962962963</v>
      </c>
    </row>
    <row r="42" spans="1:13" s="318" customFormat="1" x14ac:dyDescent="0.2"/>
    <row r="44" spans="1:13" s="320" customFormat="1" ht="38.25" x14ac:dyDescent="0.25">
      <c r="A44" s="319" t="s">
        <v>3650</v>
      </c>
      <c r="B44" s="320" t="s">
        <v>3559</v>
      </c>
      <c r="C44" s="320" t="s">
        <v>2216</v>
      </c>
      <c r="D44" s="320" t="s">
        <v>3562</v>
      </c>
      <c r="E44" s="320" t="s">
        <v>3563</v>
      </c>
      <c r="F44" s="320" t="s">
        <v>3558</v>
      </c>
      <c r="G44" s="320" t="s">
        <v>384</v>
      </c>
      <c r="H44" s="320" t="s">
        <v>3531</v>
      </c>
      <c r="I44" s="320" t="s">
        <v>388</v>
      </c>
      <c r="J44" s="320" t="s">
        <v>3611</v>
      </c>
      <c r="K44" s="320" t="s">
        <v>3612</v>
      </c>
    </row>
    <row r="45" spans="1:13" x14ac:dyDescent="0.2">
      <c r="A45" s="246" t="s">
        <v>3651</v>
      </c>
      <c r="B45" s="246">
        <f>8*8*20</f>
        <v>1280</v>
      </c>
      <c r="C45" s="246">
        <v>20</v>
      </c>
      <c r="D45" s="302">
        <v>23700000</v>
      </c>
      <c r="E45" s="302">
        <v>243000</v>
      </c>
      <c r="F45" s="306">
        <f>1-E45/D45</f>
        <v>0.98974683544303799</v>
      </c>
      <c r="G45" s="302">
        <f>D45</f>
        <v>23700000</v>
      </c>
      <c r="H45" s="246">
        <f>60/C45</f>
        <v>3</v>
      </c>
      <c r="J45" s="246">
        <f>B45/B47</f>
        <v>1</v>
      </c>
      <c r="K45" s="323">
        <f>G45/G49</f>
        <v>21.944444444444443</v>
      </c>
    </row>
    <row r="46" spans="1:13" x14ac:dyDescent="0.2">
      <c r="D46" s="302"/>
      <c r="E46" s="302"/>
      <c r="F46" s="306"/>
      <c r="G46" s="302"/>
      <c r="J46" s="303"/>
    </row>
    <row r="47" spans="1:13" x14ac:dyDescent="0.2">
      <c r="A47" s="246" t="s">
        <v>3652</v>
      </c>
      <c r="B47" s="246">
        <f>8*8*20</f>
        <v>1280</v>
      </c>
      <c r="C47" s="246">
        <v>15</v>
      </c>
      <c r="D47" s="302">
        <v>4680000</v>
      </c>
      <c r="E47" s="302">
        <v>3980000</v>
      </c>
      <c r="F47" s="306">
        <f>1-E47/D47</f>
        <v>0.1495726495726496</v>
      </c>
      <c r="G47" s="302">
        <f>D47</f>
        <v>4680000</v>
      </c>
      <c r="H47" s="246" t="s">
        <v>3564</v>
      </c>
      <c r="I47" s="246" t="s">
        <v>3565</v>
      </c>
    </row>
    <row r="48" spans="1:13" x14ac:dyDescent="0.2">
      <c r="A48" s="246" t="s">
        <v>3652</v>
      </c>
      <c r="B48" s="246">
        <f t="shared" ref="B48:B52" si="15">8*8*20</f>
        <v>1280</v>
      </c>
      <c r="C48" s="246">
        <v>45</v>
      </c>
      <c r="D48" s="302">
        <v>2480000</v>
      </c>
      <c r="E48" s="302">
        <v>684000</v>
      </c>
      <c r="F48" s="306">
        <f t="shared" ref="F48:F49" si="16">1-E48/D48</f>
        <v>0.72419354838709671</v>
      </c>
      <c r="G48" s="302">
        <f t="shared" ref="G48:G49" si="17">D48</f>
        <v>2480000</v>
      </c>
      <c r="H48" s="246" t="s">
        <v>3564</v>
      </c>
      <c r="I48" s="246" t="s">
        <v>3565</v>
      </c>
    </row>
    <row r="49" spans="1:13" x14ac:dyDescent="0.2">
      <c r="A49" s="246" t="s">
        <v>3652</v>
      </c>
      <c r="B49" s="246">
        <f t="shared" si="15"/>
        <v>1280</v>
      </c>
      <c r="C49" s="246">
        <v>60</v>
      </c>
      <c r="D49" s="302">
        <v>1080000</v>
      </c>
      <c r="E49" s="302">
        <v>98600</v>
      </c>
      <c r="F49" s="306">
        <f t="shared" si="16"/>
        <v>0.90870370370370368</v>
      </c>
      <c r="G49" s="302">
        <f t="shared" si="17"/>
        <v>1080000</v>
      </c>
      <c r="H49" s="246">
        <f t="shared" ref="H49" si="18">60/C49</f>
        <v>1</v>
      </c>
    </row>
    <row r="50" spans="1:13" x14ac:dyDescent="0.2">
      <c r="A50" s="246" t="s">
        <v>3653</v>
      </c>
      <c r="B50" s="246">
        <f>8*8*20</f>
        <v>1280</v>
      </c>
      <c r="C50" s="246">
        <v>15</v>
      </c>
      <c r="D50" s="302">
        <v>5120000</v>
      </c>
      <c r="E50" s="302">
        <v>3560000</v>
      </c>
      <c r="F50" s="306">
        <f>1-E50/D50</f>
        <v>0.3046875</v>
      </c>
      <c r="G50" s="302">
        <f>D50</f>
        <v>5120000</v>
      </c>
      <c r="H50" s="246" t="s">
        <v>3564</v>
      </c>
      <c r="I50" s="246" t="s">
        <v>3565</v>
      </c>
    </row>
    <row r="51" spans="1:13" x14ac:dyDescent="0.2">
      <c r="A51" s="246" t="s">
        <v>3653</v>
      </c>
      <c r="B51" s="246">
        <f t="shared" si="15"/>
        <v>1280</v>
      </c>
      <c r="C51" s="246">
        <v>45</v>
      </c>
      <c r="D51" s="302">
        <v>2460000</v>
      </c>
      <c r="E51" s="302">
        <v>514000</v>
      </c>
      <c r="F51" s="306">
        <f t="shared" ref="F51:F52" si="19">1-E51/D51</f>
        <v>0.79105691056910565</v>
      </c>
      <c r="G51" s="302">
        <f t="shared" ref="G51:G52" si="20">D51</f>
        <v>2460000</v>
      </c>
      <c r="H51" s="246" t="s">
        <v>3564</v>
      </c>
      <c r="I51" s="246" t="s">
        <v>3565</v>
      </c>
    </row>
    <row r="52" spans="1:13" x14ac:dyDescent="0.2">
      <c r="A52" s="246" t="s">
        <v>3653</v>
      </c>
      <c r="B52" s="246">
        <f t="shared" si="15"/>
        <v>1280</v>
      </c>
      <c r="C52" s="246">
        <v>60</v>
      </c>
      <c r="D52" s="302">
        <v>1120000</v>
      </c>
      <c r="E52" s="302">
        <v>18600</v>
      </c>
      <c r="F52" s="306">
        <f t="shared" si="19"/>
        <v>0.98339285714285718</v>
      </c>
      <c r="G52" s="302">
        <f t="shared" si="20"/>
        <v>1120000</v>
      </c>
      <c r="H52" s="246">
        <f t="shared" ref="H52" si="21">60/C52</f>
        <v>1</v>
      </c>
    </row>
    <row r="53" spans="1:13" x14ac:dyDescent="0.2">
      <c r="D53" s="302"/>
      <c r="E53" s="302"/>
      <c r="F53" s="306"/>
      <c r="G53" s="302"/>
      <c r="J53" s="303"/>
    </row>
    <row r="54" spans="1:13" x14ac:dyDescent="0.2">
      <c r="A54" s="246" t="s">
        <v>3647</v>
      </c>
      <c r="B54" s="246">
        <v>5.3</v>
      </c>
      <c r="C54" s="246">
        <v>3</v>
      </c>
      <c r="D54" s="302">
        <v>10000000</v>
      </c>
      <c r="E54" s="302">
        <f>D54-9900000</f>
        <v>100000</v>
      </c>
      <c r="F54" s="306">
        <f>1-E54/D54</f>
        <v>0.99</v>
      </c>
      <c r="G54" s="302">
        <f>D54</f>
        <v>10000000</v>
      </c>
      <c r="H54" s="246">
        <f>60/C54</f>
        <v>20</v>
      </c>
      <c r="J54" s="303">
        <f>B45/B54</f>
        <v>241.50943396226415</v>
      </c>
      <c r="K54" s="246">
        <f>G45/G54</f>
        <v>2.37</v>
      </c>
    </row>
    <row r="57" spans="1:13" s="320" customFormat="1" ht="51" x14ac:dyDescent="0.25">
      <c r="A57" s="320" t="s">
        <v>3560</v>
      </c>
      <c r="B57" s="320" t="s">
        <v>3549</v>
      </c>
      <c r="C57" s="320" t="s">
        <v>3550</v>
      </c>
      <c r="D57" s="320" t="s">
        <v>3551</v>
      </c>
      <c r="E57" s="320" t="s">
        <v>3546</v>
      </c>
      <c r="F57" s="320" t="s">
        <v>3557</v>
      </c>
      <c r="G57" s="320" t="s">
        <v>3556</v>
      </c>
      <c r="H57" s="320" t="s">
        <v>3534</v>
      </c>
      <c r="I57" s="320" t="s">
        <v>388</v>
      </c>
    </row>
    <row r="58" spans="1:13" x14ac:dyDescent="0.2">
      <c r="A58" s="246" t="s">
        <v>3651</v>
      </c>
      <c r="B58" s="246">
        <v>1280</v>
      </c>
      <c r="C58" s="246">
        <v>20</v>
      </c>
      <c r="D58" s="246">
        <f>60/C58</f>
        <v>3</v>
      </c>
      <c r="E58" s="246">
        <v>9000</v>
      </c>
      <c r="F58" s="246">
        <f>B58/E58</f>
        <v>0.14222222222222222</v>
      </c>
      <c r="G58" s="246">
        <f>D58*F58</f>
        <v>0.42666666666666664</v>
      </c>
      <c r="H58" s="302">
        <v>23700000</v>
      </c>
      <c r="I58" s="246" t="s">
        <v>3533</v>
      </c>
    </row>
    <row r="59" spans="1:13" x14ac:dyDescent="0.2">
      <c r="A59" s="246" t="s">
        <v>3653</v>
      </c>
      <c r="B59" s="246">
        <v>1280</v>
      </c>
      <c r="C59" s="246">
        <v>60</v>
      </c>
      <c r="D59" s="246">
        <f>60/C59</f>
        <v>1</v>
      </c>
      <c r="E59" s="246">
        <v>9000</v>
      </c>
      <c r="F59" s="246">
        <f>B59/E59</f>
        <v>0.14222222222222222</v>
      </c>
      <c r="G59" s="246">
        <f>D59*F59</f>
        <v>0.14222222222222222</v>
      </c>
      <c r="H59" s="302">
        <v>1120000</v>
      </c>
      <c r="I59" s="246" t="s">
        <v>3533</v>
      </c>
    </row>
    <row r="60" spans="1:13" x14ac:dyDescent="0.2">
      <c r="A60" s="246" t="s">
        <v>3647</v>
      </c>
      <c r="B60" s="246">
        <v>5.3</v>
      </c>
      <c r="C60" s="246">
        <v>3</v>
      </c>
      <c r="D60" s="246">
        <f>60/C60</f>
        <v>20</v>
      </c>
      <c r="E60" s="246">
        <v>9000</v>
      </c>
      <c r="F60" s="246">
        <f>B60/E60</f>
        <v>5.888888888888889E-4</v>
      </c>
      <c r="G60" s="246">
        <f>D60*F60</f>
        <v>1.1777777777777778E-2</v>
      </c>
      <c r="H60" s="302">
        <v>10000000</v>
      </c>
      <c r="I60" s="246" t="s">
        <v>3533</v>
      </c>
    </row>
    <row r="63" spans="1:13" s="320" customFormat="1" ht="63.75" x14ac:dyDescent="0.25">
      <c r="A63" s="320" t="s">
        <v>3561</v>
      </c>
      <c r="B63" s="320" t="s">
        <v>3549</v>
      </c>
      <c r="C63" s="320" t="s">
        <v>3550</v>
      </c>
      <c r="D63" s="320" t="s">
        <v>3551</v>
      </c>
      <c r="E63" s="320" t="s">
        <v>3546</v>
      </c>
      <c r="F63" s="320" t="s">
        <v>3557</v>
      </c>
      <c r="G63" s="320" t="s">
        <v>3532</v>
      </c>
      <c r="H63" s="320" t="s">
        <v>3534</v>
      </c>
      <c r="I63" s="320" t="s">
        <v>3552</v>
      </c>
      <c r="J63" s="320" t="s">
        <v>3553</v>
      </c>
      <c r="K63" s="320" t="s">
        <v>3554</v>
      </c>
      <c r="L63" s="320" t="s">
        <v>3555</v>
      </c>
      <c r="M63" s="320" t="s">
        <v>388</v>
      </c>
    </row>
    <row r="64" spans="1:13" x14ac:dyDescent="0.2">
      <c r="A64" s="246" t="s">
        <v>3651</v>
      </c>
      <c r="B64" s="246">
        <v>1280</v>
      </c>
      <c r="C64" s="246">
        <v>20</v>
      </c>
      <c r="D64" s="246">
        <f t="shared" ref="D64:D85" si="22">60/C64</f>
        <v>3</v>
      </c>
      <c r="E64" s="246">
        <v>9000</v>
      </c>
      <c r="F64" s="246">
        <f t="shared" ref="F64:F85" si="23">B64/E64</f>
        <v>0.14222222222222222</v>
      </c>
      <c r="G64" s="246">
        <f t="shared" ref="G64:G85" si="24">D64*F64</f>
        <v>0.42666666666666664</v>
      </c>
      <c r="H64" s="302">
        <v>23700000</v>
      </c>
      <c r="I64" s="246">
        <v>3000</v>
      </c>
      <c r="J64" s="303">
        <f t="shared" ref="J64:J85" si="25">H64/I64</f>
        <v>7900</v>
      </c>
      <c r="K64" s="304">
        <v>1</v>
      </c>
      <c r="L64" s="303">
        <f t="shared" ref="L64:L85" si="26">G64*K64*J64</f>
        <v>3370.6666666666665</v>
      </c>
      <c r="M64" s="246" t="s">
        <v>3535</v>
      </c>
    </row>
    <row r="65" spans="1:13" x14ac:dyDescent="0.2">
      <c r="A65" s="246" t="s">
        <v>3651</v>
      </c>
      <c r="B65" s="246">
        <v>1280</v>
      </c>
      <c r="C65" s="246">
        <v>20</v>
      </c>
      <c r="D65" s="246">
        <f t="shared" si="22"/>
        <v>3</v>
      </c>
      <c r="E65" s="246">
        <v>9000</v>
      </c>
      <c r="F65" s="246">
        <f t="shared" si="23"/>
        <v>0.14222222222222222</v>
      </c>
      <c r="G65" s="246">
        <f t="shared" si="24"/>
        <v>0.42666666666666664</v>
      </c>
      <c r="H65" s="302">
        <v>23700000</v>
      </c>
      <c r="I65" s="246">
        <v>6000</v>
      </c>
      <c r="J65" s="303">
        <f t="shared" si="25"/>
        <v>3950</v>
      </c>
      <c r="K65" s="304">
        <v>1</v>
      </c>
      <c r="L65" s="303">
        <f t="shared" si="26"/>
        <v>1685.3333333333333</v>
      </c>
      <c r="M65" s="246" t="s">
        <v>3535</v>
      </c>
    </row>
    <row r="66" spans="1:13" x14ac:dyDescent="0.2">
      <c r="A66" s="246" t="s">
        <v>3651</v>
      </c>
      <c r="B66" s="246">
        <v>1280</v>
      </c>
      <c r="C66" s="246">
        <v>20</v>
      </c>
      <c r="D66" s="246">
        <f t="shared" si="22"/>
        <v>3</v>
      </c>
      <c r="E66" s="246">
        <v>9000</v>
      </c>
      <c r="F66" s="246">
        <f t="shared" si="23"/>
        <v>0.14222222222222222</v>
      </c>
      <c r="G66" s="246">
        <f t="shared" si="24"/>
        <v>0.42666666666666664</v>
      </c>
      <c r="H66" s="302">
        <v>23700000</v>
      </c>
      <c r="I66" s="246">
        <v>3000</v>
      </c>
      <c r="J66" s="303">
        <f t="shared" si="25"/>
        <v>7900</v>
      </c>
      <c r="K66" s="304">
        <v>0.5</v>
      </c>
      <c r="L66" s="303">
        <f t="shared" si="26"/>
        <v>1685.3333333333333</v>
      </c>
    </row>
    <row r="67" spans="1:13" x14ac:dyDescent="0.2">
      <c r="A67" s="246" t="s">
        <v>3651</v>
      </c>
      <c r="B67" s="246">
        <v>1280</v>
      </c>
      <c r="C67" s="246">
        <v>20</v>
      </c>
      <c r="D67" s="246">
        <f t="shared" si="22"/>
        <v>3</v>
      </c>
      <c r="E67" s="246">
        <v>9000</v>
      </c>
      <c r="F67" s="246">
        <f t="shared" si="23"/>
        <v>0.14222222222222222</v>
      </c>
      <c r="G67" s="246">
        <f t="shared" si="24"/>
        <v>0.42666666666666664</v>
      </c>
      <c r="H67" s="302">
        <v>23700000</v>
      </c>
      <c r="I67" s="246">
        <v>6000</v>
      </c>
      <c r="J67" s="303">
        <f t="shared" si="25"/>
        <v>3950</v>
      </c>
      <c r="K67" s="304">
        <v>0.5</v>
      </c>
      <c r="L67" s="303">
        <f t="shared" si="26"/>
        <v>842.66666666666663</v>
      </c>
    </row>
    <row r="68" spans="1:13" x14ac:dyDescent="0.2">
      <c r="A68" s="246" t="s">
        <v>3651</v>
      </c>
      <c r="B68" s="246">
        <v>1280</v>
      </c>
      <c r="C68" s="246">
        <v>20</v>
      </c>
      <c r="D68" s="246">
        <f t="shared" si="22"/>
        <v>3</v>
      </c>
      <c r="E68" s="246">
        <v>9000</v>
      </c>
      <c r="F68" s="246">
        <f t="shared" si="23"/>
        <v>0.14222222222222222</v>
      </c>
      <c r="G68" s="246">
        <f t="shared" si="24"/>
        <v>0.42666666666666664</v>
      </c>
      <c r="H68" s="302">
        <v>23700000</v>
      </c>
      <c r="I68" s="246">
        <v>3000</v>
      </c>
      <c r="J68" s="303">
        <f t="shared" si="25"/>
        <v>7900</v>
      </c>
      <c r="K68" s="304">
        <v>0.1</v>
      </c>
      <c r="L68" s="303">
        <f t="shared" si="26"/>
        <v>337.06666666666666</v>
      </c>
    </row>
    <row r="69" spans="1:13" x14ac:dyDescent="0.2">
      <c r="A69" s="246" t="s">
        <v>3651</v>
      </c>
      <c r="B69" s="246">
        <v>1280</v>
      </c>
      <c r="C69" s="246">
        <v>20</v>
      </c>
      <c r="D69" s="246">
        <f t="shared" si="22"/>
        <v>3</v>
      </c>
      <c r="E69" s="246">
        <v>9000</v>
      </c>
      <c r="F69" s="246">
        <f t="shared" si="23"/>
        <v>0.14222222222222222</v>
      </c>
      <c r="G69" s="246">
        <f t="shared" si="24"/>
        <v>0.42666666666666664</v>
      </c>
      <c r="H69" s="302">
        <v>23700000</v>
      </c>
      <c r="I69" s="246">
        <v>6000</v>
      </c>
      <c r="J69" s="303">
        <f t="shared" si="25"/>
        <v>3950</v>
      </c>
      <c r="K69" s="304">
        <v>0.1</v>
      </c>
      <c r="L69" s="303">
        <f t="shared" si="26"/>
        <v>168.53333333333333</v>
      </c>
      <c r="M69" s="246" t="s">
        <v>3568</v>
      </c>
    </row>
    <row r="70" spans="1:13" x14ac:dyDescent="0.2">
      <c r="H70" s="302"/>
      <c r="J70" s="303"/>
      <c r="K70" s="304"/>
      <c r="L70" s="303"/>
    </row>
    <row r="71" spans="1:13" x14ac:dyDescent="0.2">
      <c r="A71" s="246" t="s">
        <v>3653</v>
      </c>
      <c r="B71" s="246">
        <v>1280</v>
      </c>
      <c r="C71" s="246">
        <v>60</v>
      </c>
      <c r="D71" s="246">
        <f t="shared" si="22"/>
        <v>1</v>
      </c>
      <c r="E71" s="246">
        <v>9000</v>
      </c>
      <c r="F71" s="246">
        <f t="shared" si="23"/>
        <v>0.14222222222222222</v>
      </c>
      <c r="G71" s="246">
        <f t="shared" si="24"/>
        <v>0.14222222222222222</v>
      </c>
      <c r="H71" s="302">
        <v>1120000</v>
      </c>
      <c r="I71" s="246">
        <v>3000</v>
      </c>
      <c r="J71" s="303">
        <f t="shared" si="25"/>
        <v>373.33333333333331</v>
      </c>
      <c r="K71" s="304">
        <v>1</v>
      </c>
      <c r="L71" s="303">
        <f t="shared" si="26"/>
        <v>53.096296296296295</v>
      </c>
      <c r="M71" s="246" t="s">
        <v>3535</v>
      </c>
    </row>
    <row r="72" spans="1:13" x14ac:dyDescent="0.2">
      <c r="A72" s="246" t="s">
        <v>3653</v>
      </c>
      <c r="B72" s="246">
        <v>1280</v>
      </c>
      <c r="C72" s="246">
        <v>60</v>
      </c>
      <c r="D72" s="246">
        <f t="shared" si="22"/>
        <v>1</v>
      </c>
      <c r="E72" s="246">
        <v>9000</v>
      </c>
      <c r="F72" s="246">
        <f t="shared" si="23"/>
        <v>0.14222222222222222</v>
      </c>
      <c r="G72" s="246">
        <f t="shared" si="24"/>
        <v>0.14222222222222222</v>
      </c>
      <c r="H72" s="302">
        <v>1120000</v>
      </c>
      <c r="I72" s="246">
        <v>6000</v>
      </c>
      <c r="J72" s="303">
        <f t="shared" si="25"/>
        <v>186.66666666666666</v>
      </c>
      <c r="K72" s="304">
        <v>1</v>
      </c>
      <c r="L72" s="303">
        <f t="shared" si="26"/>
        <v>26.548148148148147</v>
      </c>
      <c r="M72" s="246" t="s">
        <v>3535</v>
      </c>
    </row>
    <row r="73" spans="1:13" x14ac:dyDescent="0.2">
      <c r="A73" s="246" t="s">
        <v>3653</v>
      </c>
      <c r="B73" s="246">
        <v>1280</v>
      </c>
      <c r="C73" s="246">
        <v>60</v>
      </c>
      <c r="D73" s="246">
        <f t="shared" si="22"/>
        <v>1</v>
      </c>
      <c r="E73" s="246">
        <v>9000</v>
      </c>
      <c r="F73" s="246">
        <f t="shared" si="23"/>
        <v>0.14222222222222222</v>
      </c>
      <c r="G73" s="246">
        <f t="shared" si="24"/>
        <v>0.14222222222222222</v>
      </c>
      <c r="H73" s="302">
        <v>1120000</v>
      </c>
      <c r="I73" s="246">
        <v>3000</v>
      </c>
      <c r="J73" s="303">
        <f t="shared" si="25"/>
        <v>373.33333333333331</v>
      </c>
      <c r="K73" s="304">
        <v>0.5</v>
      </c>
      <c r="L73" s="303">
        <f t="shared" si="26"/>
        <v>26.548148148148147</v>
      </c>
    </row>
    <row r="74" spans="1:13" x14ac:dyDescent="0.2">
      <c r="A74" s="246" t="s">
        <v>3653</v>
      </c>
      <c r="B74" s="246">
        <v>1280</v>
      </c>
      <c r="C74" s="246">
        <v>60</v>
      </c>
      <c r="D74" s="246">
        <f t="shared" si="22"/>
        <v>1</v>
      </c>
      <c r="E74" s="246">
        <v>9000</v>
      </c>
      <c r="F74" s="246">
        <f t="shared" si="23"/>
        <v>0.14222222222222222</v>
      </c>
      <c r="G74" s="246">
        <f t="shared" si="24"/>
        <v>0.14222222222222222</v>
      </c>
      <c r="H74" s="302">
        <v>1120000</v>
      </c>
      <c r="I74" s="246">
        <v>6000</v>
      </c>
      <c r="J74" s="303">
        <f t="shared" si="25"/>
        <v>186.66666666666666</v>
      </c>
      <c r="K74" s="304">
        <v>0.5</v>
      </c>
      <c r="L74" s="303">
        <f t="shared" si="26"/>
        <v>13.274074074074074</v>
      </c>
    </row>
    <row r="75" spans="1:13" x14ac:dyDescent="0.2">
      <c r="A75" s="246" t="s">
        <v>3653</v>
      </c>
      <c r="B75" s="246">
        <v>1280</v>
      </c>
      <c r="C75" s="246">
        <v>60</v>
      </c>
      <c r="D75" s="246">
        <f t="shared" si="22"/>
        <v>1</v>
      </c>
      <c r="E75" s="246">
        <v>9000</v>
      </c>
      <c r="F75" s="246">
        <f t="shared" si="23"/>
        <v>0.14222222222222222</v>
      </c>
      <c r="G75" s="246">
        <f t="shared" si="24"/>
        <v>0.14222222222222222</v>
      </c>
      <c r="H75" s="302">
        <v>1120000</v>
      </c>
      <c r="I75" s="246">
        <v>3000</v>
      </c>
      <c r="J75" s="303">
        <f t="shared" si="25"/>
        <v>373.33333333333331</v>
      </c>
      <c r="K75" s="304">
        <v>0.1</v>
      </c>
      <c r="L75" s="303">
        <f t="shared" si="26"/>
        <v>5.3096296296296295</v>
      </c>
    </row>
    <row r="76" spans="1:13" x14ac:dyDescent="0.2">
      <c r="A76" s="246" t="s">
        <v>3653</v>
      </c>
      <c r="B76" s="246">
        <v>1280</v>
      </c>
      <c r="C76" s="246">
        <v>60</v>
      </c>
      <c r="D76" s="246">
        <f t="shared" si="22"/>
        <v>1</v>
      </c>
      <c r="E76" s="246">
        <v>9000</v>
      </c>
      <c r="F76" s="246">
        <f t="shared" si="23"/>
        <v>0.14222222222222222</v>
      </c>
      <c r="G76" s="246">
        <f t="shared" si="24"/>
        <v>0.14222222222222222</v>
      </c>
      <c r="H76" s="302">
        <v>1120000</v>
      </c>
      <c r="I76" s="246">
        <v>6000</v>
      </c>
      <c r="J76" s="303">
        <f t="shared" si="25"/>
        <v>186.66666666666666</v>
      </c>
      <c r="K76" s="304">
        <v>0.1</v>
      </c>
      <c r="L76" s="303">
        <f t="shared" si="26"/>
        <v>2.6548148148148147</v>
      </c>
    </row>
    <row r="77" spans="1:13" x14ac:dyDescent="0.2">
      <c r="A77" s="246" t="s">
        <v>3653</v>
      </c>
      <c r="B77" s="246">
        <v>1280</v>
      </c>
      <c r="C77" s="246">
        <v>60</v>
      </c>
      <c r="D77" s="246">
        <f t="shared" si="22"/>
        <v>1</v>
      </c>
      <c r="E77" s="246">
        <v>9000</v>
      </c>
      <c r="F77" s="246">
        <f t="shared" si="23"/>
        <v>0.14222222222222222</v>
      </c>
      <c r="G77" s="246">
        <f t="shared" si="24"/>
        <v>0.14222222222222222</v>
      </c>
      <c r="H77" s="302">
        <v>1120000</v>
      </c>
      <c r="I77" s="246">
        <v>3000</v>
      </c>
      <c r="J77" s="303">
        <f t="shared" si="25"/>
        <v>373.33333333333331</v>
      </c>
      <c r="K77" s="304">
        <v>0.05</v>
      </c>
      <c r="L77" s="303">
        <f t="shared" si="26"/>
        <v>2.6548148148148147</v>
      </c>
    </row>
    <row r="78" spans="1:13" x14ac:dyDescent="0.2">
      <c r="A78" s="246" t="s">
        <v>3653</v>
      </c>
      <c r="B78" s="246">
        <v>1280</v>
      </c>
      <c r="C78" s="246">
        <v>60</v>
      </c>
      <c r="D78" s="246">
        <f t="shared" si="22"/>
        <v>1</v>
      </c>
      <c r="E78" s="246">
        <v>9000</v>
      </c>
      <c r="F78" s="246">
        <f t="shared" si="23"/>
        <v>0.14222222222222222</v>
      </c>
      <c r="G78" s="246">
        <f t="shared" si="24"/>
        <v>0.14222222222222222</v>
      </c>
      <c r="H78" s="302">
        <v>1120000</v>
      </c>
      <c r="I78" s="246">
        <v>6000</v>
      </c>
      <c r="J78" s="303">
        <f t="shared" si="25"/>
        <v>186.66666666666666</v>
      </c>
      <c r="K78" s="304">
        <v>0.05</v>
      </c>
      <c r="L78" s="303">
        <f t="shared" si="26"/>
        <v>1.3274074074074074</v>
      </c>
      <c r="M78" s="246" t="s">
        <v>3566</v>
      </c>
    </row>
    <row r="79" spans="1:13" x14ac:dyDescent="0.2">
      <c r="H79" s="302"/>
      <c r="J79" s="303"/>
      <c r="K79" s="304"/>
      <c r="L79" s="303"/>
    </row>
    <row r="80" spans="1:13" x14ac:dyDescent="0.2">
      <c r="A80" s="246" t="s">
        <v>3647</v>
      </c>
      <c r="B80" s="246">
        <v>5.3</v>
      </c>
      <c r="C80" s="246">
        <v>3</v>
      </c>
      <c r="D80" s="246">
        <f t="shared" si="22"/>
        <v>20</v>
      </c>
      <c r="E80" s="246">
        <v>9000</v>
      </c>
      <c r="F80" s="246">
        <f t="shared" si="23"/>
        <v>5.888888888888889E-4</v>
      </c>
      <c r="G80" s="246">
        <f t="shared" si="24"/>
        <v>1.1777777777777778E-2</v>
      </c>
      <c r="H80" s="302">
        <v>10000000</v>
      </c>
      <c r="I80" s="246">
        <v>3000</v>
      </c>
      <c r="J80" s="303">
        <f t="shared" si="25"/>
        <v>3333.3333333333335</v>
      </c>
      <c r="K80" s="304">
        <v>1</v>
      </c>
      <c r="L80" s="303">
        <f t="shared" si="26"/>
        <v>39.25925925925926</v>
      </c>
      <c r="M80" s="246" t="s">
        <v>3535</v>
      </c>
    </row>
    <row r="81" spans="1:13" x14ac:dyDescent="0.2">
      <c r="A81" s="246" t="s">
        <v>3647</v>
      </c>
      <c r="B81" s="246">
        <v>5.3</v>
      </c>
      <c r="C81" s="246">
        <v>3</v>
      </c>
      <c r="D81" s="246">
        <f t="shared" si="22"/>
        <v>20</v>
      </c>
      <c r="E81" s="246">
        <v>9000</v>
      </c>
      <c r="F81" s="246">
        <f t="shared" si="23"/>
        <v>5.888888888888889E-4</v>
      </c>
      <c r="G81" s="246">
        <f t="shared" si="24"/>
        <v>1.1777777777777778E-2</v>
      </c>
      <c r="H81" s="302">
        <v>10000000</v>
      </c>
      <c r="I81" s="246">
        <v>6000</v>
      </c>
      <c r="J81" s="303">
        <f t="shared" si="25"/>
        <v>1666.6666666666667</v>
      </c>
      <c r="K81" s="304">
        <v>1</v>
      </c>
      <c r="L81" s="303">
        <f t="shared" si="26"/>
        <v>19.62962962962963</v>
      </c>
      <c r="M81" s="246" t="s">
        <v>3535</v>
      </c>
    </row>
    <row r="82" spans="1:13" x14ac:dyDescent="0.2">
      <c r="A82" s="246" t="s">
        <v>3647</v>
      </c>
      <c r="B82" s="246">
        <v>5.3</v>
      </c>
      <c r="C82" s="246">
        <v>3</v>
      </c>
      <c r="D82" s="246">
        <f t="shared" si="22"/>
        <v>20</v>
      </c>
      <c r="E82" s="246">
        <v>9000</v>
      </c>
      <c r="F82" s="246">
        <f t="shared" si="23"/>
        <v>5.888888888888889E-4</v>
      </c>
      <c r="G82" s="246">
        <f t="shared" si="24"/>
        <v>1.1777777777777778E-2</v>
      </c>
      <c r="H82" s="302">
        <v>10000000</v>
      </c>
      <c r="I82" s="246">
        <v>3000</v>
      </c>
      <c r="J82" s="303">
        <f t="shared" si="25"/>
        <v>3333.3333333333335</v>
      </c>
      <c r="K82" s="304">
        <v>0.5</v>
      </c>
      <c r="L82" s="303">
        <f t="shared" si="26"/>
        <v>19.62962962962963</v>
      </c>
      <c r="M82" s="246" t="s">
        <v>3567</v>
      </c>
    </row>
    <row r="83" spans="1:13" x14ac:dyDescent="0.2">
      <c r="A83" s="246" t="s">
        <v>3647</v>
      </c>
      <c r="B83" s="246">
        <v>5.3</v>
      </c>
      <c r="C83" s="246">
        <v>3</v>
      </c>
      <c r="D83" s="246">
        <f t="shared" si="22"/>
        <v>20</v>
      </c>
      <c r="E83" s="246">
        <v>9000</v>
      </c>
      <c r="F83" s="246">
        <f t="shared" si="23"/>
        <v>5.888888888888889E-4</v>
      </c>
      <c r="G83" s="246">
        <f t="shared" si="24"/>
        <v>1.1777777777777778E-2</v>
      </c>
      <c r="H83" s="302">
        <v>10000000</v>
      </c>
      <c r="I83" s="246">
        <v>6000</v>
      </c>
      <c r="J83" s="303">
        <f t="shared" si="25"/>
        <v>1666.6666666666667</v>
      </c>
      <c r="K83" s="304">
        <v>0.5</v>
      </c>
      <c r="L83" s="303">
        <f t="shared" si="26"/>
        <v>9.8148148148148149</v>
      </c>
    </row>
    <row r="84" spans="1:13" x14ac:dyDescent="0.2">
      <c r="A84" s="246" t="s">
        <v>3647</v>
      </c>
      <c r="B84" s="246">
        <v>5.3</v>
      </c>
      <c r="C84" s="246">
        <v>3</v>
      </c>
      <c r="D84" s="246">
        <f t="shared" si="22"/>
        <v>20</v>
      </c>
      <c r="E84" s="246">
        <v>9000</v>
      </c>
      <c r="F84" s="246">
        <f t="shared" si="23"/>
        <v>5.888888888888889E-4</v>
      </c>
      <c r="G84" s="246">
        <f t="shared" si="24"/>
        <v>1.1777777777777778E-2</v>
      </c>
      <c r="H84" s="302">
        <v>10000000</v>
      </c>
      <c r="I84" s="246">
        <v>3000</v>
      </c>
      <c r="J84" s="303">
        <f t="shared" si="25"/>
        <v>3333.3333333333335</v>
      </c>
      <c r="K84" s="304">
        <v>0.1</v>
      </c>
      <c r="L84" s="303">
        <f t="shared" si="26"/>
        <v>3.925925925925926</v>
      </c>
    </row>
    <row r="85" spans="1:13" x14ac:dyDescent="0.2">
      <c r="A85" s="246" t="s">
        <v>3647</v>
      </c>
      <c r="B85" s="246">
        <v>5.3</v>
      </c>
      <c r="C85" s="246">
        <v>3</v>
      </c>
      <c r="D85" s="246">
        <f t="shared" si="22"/>
        <v>20</v>
      </c>
      <c r="E85" s="246">
        <v>9000</v>
      </c>
      <c r="F85" s="246">
        <f t="shared" si="23"/>
        <v>5.888888888888889E-4</v>
      </c>
      <c r="G85" s="246">
        <f t="shared" si="24"/>
        <v>1.1777777777777778E-2</v>
      </c>
      <c r="H85" s="302">
        <v>10000000</v>
      </c>
      <c r="I85" s="246">
        <v>6000</v>
      </c>
      <c r="J85" s="303">
        <f t="shared" si="25"/>
        <v>1666.6666666666667</v>
      </c>
      <c r="K85" s="304">
        <v>0.1</v>
      </c>
      <c r="L85" s="303">
        <f t="shared" si="26"/>
        <v>1.962962962962963</v>
      </c>
    </row>
    <row r="88" spans="1:13" x14ac:dyDescent="0.2">
      <c r="A88" s="317" t="s">
        <v>3648</v>
      </c>
    </row>
    <row r="89" spans="1:13" ht="30" x14ac:dyDescent="0.2">
      <c r="A89" s="180" t="s">
        <v>3570</v>
      </c>
      <c r="B89" s="180" t="s">
        <v>3613</v>
      </c>
      <c r="C89" s="180" t="s">
        <v>3614</v>
      </c>
      <c r="D89" s="180" t="s">
        <v>3615</v>
      </c>
      <c r="E89" s="15" t="s">
        <v>3616</v>
      </c>
    </row>
    <row r="90" spans="1:13" ht="45" x14ac:dyDescent="0.2">
      <c r="A90" s="20" t="s">
        <v>3617</v>
      </c>
      <c r="B90" s="6" t="s">
        <v>3618</v>
      </c>
      <c r="C90" s="20" t="s">
        <v>3619</v>
      </c>
      <c r="D90" s="20" t="s">
        <v>3620</v>
      </c>
      <c r="E90" s="214" t="s">
        <v>3621</v>
      </c>
    </row>
    <row r="91" spans="1:13" ht="45" x14ac:dyDescent="0.2">
      <c r="A91" s="20" t="s">
        <v>3617</v>
      </c>
      <c r="B91" s="6" t="s">
        <v>3618</v>
      </c>
      <c r="C91" s="20" t="s">
        <v>3619</v>
      </c>
      <c r="D91" s="20" t="s">
        <v>3622</v>
      </c>
      <c r="E91" s="214" t="s">
        <v>3623</v>
      </c>
    </row>
    <row r="92" spans="1:13" ht="45" x14ac:dyDescent="0.2">
      <c r="A92" s="20" t="s">
        <v>3617</v>
      </c>
      <c r="B92" s="6" t="s">
        <v>3618</v>
      </c>
      <c r="C92" s="20" t="s">
        <v>3619</v>
      </c>
      <c r="D92" s="20" t="s">
        <v>3624</v>
      </c>
      <c r="E92" s="214" t="s">
        <v>3625</v>
      </c>
    </row>
    <row r="93" spans="1:13" ht="30" customHeight="1" x14ac:dyDescent="0.2">
      <c r="A93" s="20" t="s">
        <v>3626</v>
      </c>
      <c r="B93" s="6" t="s">
        <v>3627</v>
      </c>
      <c r="C93" s="20" t="s">
        <v>3628</v>
      </c>
      <c r="D93" s="20" t="s">
        <v>3622</v>
      </c>
      <c r="E93" s="214" t="s">
        <v>3629</v>
      </c>
    </row>
    <row r="94" spans="1:13" ht="15" x14ac:dyDescent="0.2">
      <c r="A94" s="20"/>
      <c r="B94" s="6"/>
      <c r="C94" s="20"/>
      <c r="D94" s="20"/>
      <c r="E94" s="214" t="s">
        <v>3630</v>
      </c>
    </row>
    <row r="95" spans="1:13" ht="15" x14ac:dyDescent="0.2">
      <c r="A95" s="20"/>
      <c r="B95" s="6"/>
      <c r="C95" s="20"/>
      <c r="D95" s="20"/>
      <c r="E95" s="214" t="s">
        <v>3631</v>
      </c>
    </row>
    <row r="96" spans="1:13" ht="45" x14ac:dyDescent="0.2">
      <c r="A96" s="20" t="s">
        <v>3632</v>
      </c>
      <c r="B96" s="6" t="s">
        <v>3633</v>
      </c>
      <c r="C96" s="20" t="s">
        <v>3628</v>
      </c>
      <c r="D96" s="6" t="s">
        <v>836</v>
      </c>
      <c r="E96" s="1" t="s">
        <v>3634</v>
      </c>
    </row>
    <row r="97" spans="1:5" ht="15" customHeight="1" x14ac:dyDescent="0.2">
      <c r="A97" s="20" t="s">
        <v>3635</v>
      </c>
      <c r="B97" s="6" t="s">
        <v>3618</v>
      </c>
      <c r="C97" s="20" t="s">
        <v>3638</v>
      </c>
      <c r="D97" s="20" t="s">
        <v>3639</v>
      </c>
      <c r="E97" s="214" t="s">
        <v>3640</v>
      </c>
    </row>
    <row r="98" spans="1:5" ht="15" x14ac:dyDescent="0.2">
      <c r="A98" s="6"/>
      <c r="B98" s="6"/>
      <c r="C98" s="20"/>
      <c r="D98" s="20"/>
      <c r="E98" s="214"/>
    </row>
    <row r="99" spans="1:5" ht="15" x14ac:dyDescent="0.2">
      <c r="A99" s="20" t="s">
        <v>3636</v>
      </c>
      <c r="B99" s="6"/>
      <c r="C99" s="20"/>
      <c r="D99" s="20"/>
      <c r="E99" s="214"/>
    </row>
    <row r="100" spans="1:5" ht="15" x14ac:dyDescent="0.2">
      <c r="A100" s="6"/>
      <c r="B100" s="6"/>
      <c r="C100" s="20"/>
      <c r="D100" s="20"/>
      <c r="E100" s="214"/>
    </row>
    <row r="101" spans="1:5" ht="15" x14ac:dyDescent="0.2">
      <c r="A101" s="20" t="s">
        <v>3637</v>
      </c>
      <c r="B101" s="6"/>
      <c r="C101" s="20"/>
      <c r="D101" s="20"/>
      <c r="E101" s="214"/>
    </row>
    <row r="102" spans="1:5" ht="30" x14ac:dyDescent="0.2">
      <c r="A102" s="20" t="s">
        <v>3641</v>
      </c>
      <c r="B102" s="6" t="s">
        <v>3642</v>
      </c>
      <c r="C102" s="20" t="s">
        <v>3643</v>
      </c>
      <c r="D102" s="6" t="s">
        <v>836</v>
      </c>
      <c r="E102" s="1" t="s">
        <v>3634</v>
      </c>
    </row>
    <row r="103" spans="1:5" ht="15" x14ac:dyDescent="0.2">
      <c r="A103" s="20"/>
      <c r="B103" s="6"/>
      <c r="C103" s="20"/>
      <c r="D103" s="6"/>
      <c r="E103" s="214" t="s">
        <v>3644</v>
      </c>
    </row>
  </sheetData>
  <hyperlinks>
    <hyperlink ref="A90" r:id="rId1" display="https://mdurx.com/mdu-rx/" xr:uid="{071E72BE-FC21-48C5-9A14-A58E8B8E5C97}"/>
    <hyperlink ref="C90" r:id="rId2" display="https://www.mdurx.com/" xr:uid="{5859B5F0-EDDC-4F57-BC7D-F4E1CB5DD64A}"/>
    <hyperlink ref="D90" r:id="rId3" display="https://www.arelabs.com/" xr:uid="{B529E7CF-916B-40E2-9688-39A1D10BEE7F}"/>
    <hyperlink ref="E90" r:id="rId4" display="https://pyure.com/wp-content/uploads/2021/03/ARE_Labs_ODOROX_Efficacy_vs_Bioaerosols.pdf" xr:uid="{79B55D6E-1020-4467-8CF6-D61206C8EC63}"/>
    <hyperlink ref="A91" r:id="rId5" display="https://mdurx.com/mdu-rx/" xr:uid="{D30DD685-95EF-4684-98E1-5351AB9ED147}"/>
    <hyperlink ref="C91" r:id="rId6" display="https://www.mdurx.com/" xr:uid="{18F65C7C-1F32-4EF3-A0F7-DBB504AFF995}"/>
    <hyperlink ref="D91" r:id="rId7" display="https://www.innovativebioanalysis.com/" xr:uid="{A5624D9C-395E-4F3D-94FA-B89E623662A6}"/>
    <hyperlink ref="E91" r:id="rId8" display="https://www.mdurx.com/wp-content/uploads/2021/01/PYURE_Final_Report_SARS_CoV_2_Testing-1.pdf" xr:uid="{C42EAC2C-3FE4-48C3-A84A-0AFCCAD8090F}"/>
    <hyperlink ref="A92" r:id="rId9" display="https://mdurx.com/mdu-rx/" xr:uid="{84411672-385E-448B-9C82-10777A20A587}"/>
    <hyperlink ref="C92" r:id="rId10" display="https://www.mdurx.com/" xr:uid="{CD7225E4-BB32-4093-94CA-28589B913DC1}"/>
    <hyperlink ref="D92" r:id="rId11" display="https://www.compbio.com/" xr:uid="{B0A2A7B6-9727-44F0-BCB2-796CC0F66675}"/>
    <hyperlink ref="E92" r:id="rId12" display="https://mdurx.com/wp-content/uploads/2021/01/Toxicology_Study_Report.pdf" xr:uid="{EF9710BE-4AEC-4130-B264-32A6ECD0B9BF}"/>
    <hyperlink ref="A93" r:id="rId13" display="https://globalplasmasolutions.com/products/gps-fc48-ac" xr:uid="{DC1F7A0F-AEE1-466A-A9D9-6367E4C40F21}"/>
    <hyperlink ref="C93" r:id="rId14" display="https://www.globalplasmasolutions.com/" xr:uid="{F03EED6F-C4D0-44B8-9A1C-5A5D88563E25}"/>
    <hyperlink ref="D93" r:id="rId15" display="https://www.innovativebioanalysis.com/" xr:uid="{BB709B48-2CD9-42A0-9959-84A8685B15C6}"/>
    <hyperlink ref="E93" r:id="rId16" display="https://drive.google.com/file/d/1VQW_XEDw5MtNchsSXLlb-xIcX0Pw8Xr8/view" xr:uid="{8AAAD6EB-EB86-475A-9196-3604A70803A7}"/>
    <hyperlink ref="E94" r:id="rId17" display="https://globalplasmasolutions.com/uploads/customer-resources/GPS-SARS-CoV-2-Report-2021.pdf" xr:uid="{F3DAC7F0-1ED1-4B9E-8540-0E8CDE4704CA}"/>
    <hyperlink ref="E95" r:id="rId18" display="https://drive.google.com/file/d/1V5EXCx_a1iHboLETYyxtA2WHnXFVyeBz/view" xr:uid="{7EAF6AD7-9A05-469D-A17B-AD984F8C8499}"/>
    <hyperlink ref="A96" r:id="rId19" display="https://globalplasmasolutions.com/products/gps-imeasure" xr:uid="{8282AF6D-D9EC-4BEA-A4FA-72BD40D0C0E4}"/>
    <hyperlink ref="C96" r:id="rId20" display="https://www.globalplasmasolutions.com/" xr:uid="{EBA115B7-3D64-4AF0-9F6D-0DCD704B7143}"/>
    <hyperlink ref="A97" r:id="rId21" display="https://www.activepuremedical.com/" xr:uid="{F2CF7449-CCE6-44DB-AB1B-273E8169D8FE}"/>
    <hyperlink ref="A99" r:id="rId22" display="https://www.activepure.com/covid" xr:uid="{84263E05-7001-463A-910F-9732A64F4CF0}"/>
    <hyperlink ref="A101" r:id="rId23" display="https://www.activepuremedical.com/wp-content/uploads/2021/06/MedicalBrochure.pdf" xr:uid="{821897D6-002C-4059-BBB6-6199082F1183}"/>
    <hyperlink ref="C97" r:id="rId24" display="https://www.activepure.com/" xr:uid="{47D4F7B3-3786-48C9-9E7D-1130B7EE5694}"/>
    <hyperlink ref="D97" r:id="rId25" display="https://www.utsystem.edu/institutions/university-of-texas-medical-branch-at-galveston" xr:uid="{EE4E5C5D-EB01-4708-8970-9BFF12A6EA2C}"/>
    <hyperlink ref="E97" r:id="rId26" display="https://activtek.pl/wp-content/uploads/2021/05/UTMB-Airborne-SARS-CoV-2F_Final-Report.pdf" xr:uid="{C2070712-439B-4C4C-A6E1-C9C3F0CE790B}"/>
    <hyperlink ref="A102" r:id="rId27" display="https://www.alphalabinc.com/product-category/air-ion-counters/" xr:uid="{47C11849-A8A3-4693-89E5-6046688F0A2B}"/>
    <hyperlink ref="C102" r:id="rId28" display="https://www.alphalabinc.com/" xr:uid="{AE9D7496-1A3F-4C47-979A-C052C5BBCBAB}"/>
    <hyperlink ref="E103" r:id="rId29" display="https://www.alphalabinc.com/about-air-ions" xr:uid="{E76C26D8-0606-4EDE-993F-3A6F7641AFED}"/>
  </hyperlinks>
  <pageMargins left="0.7" right="0.7" top="0.75" bottom="0.75" header="0.3" footer="0.3"/>
  <pageSetup orientation="portrait" horizontalDpi="0" verticalDpi="0" r:id="rId3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892C2-A6D3-4C4E-815D-9241A28BD90F}">
  <dimension ref="A1:O166"/>
  <sheetViews>
    <sheetView topLeftCell="A102" zoomScale="90" zoomScaleNormal="90" workbookViewId="0">
      <selection activeCell="G163" sqref="G163"/>
    </sheetView>
  </sheetViews>
  <sheetFormatPr defaultRowHeight="14.25" x14ac:dyDescent="0.2"/>
  <cols>
    <col min="1" max="1" width="14" style="129" bestFit="1" customWidth="1"/>
    <col min="2" max="2" width="12.7109375" style="129" bestFit="1" customWidth="1"/>
    <col min="3" max="3" width="10.140625" style="129" bestFit="1" customWidth="1"/>
    <col min="4" max="4" width="10.5703125" style="129" bestFit="1" customWidth="1"/>
    <col min="5" max="6" width="9.42578125" style="129" bestFit="1" customWidth="1"/>
    <col min="7" max="7" width="10.140625" style="129" bestFit="1" customWidth="1"/>
    <col min="8" max="8" width="9.42578125" style="129" bestFit="1" customWidth="1"/>
    <col min="9" max="16384" width="9.140625" style="129"/>
  </cols>
  <sheetData>
    <row r="1" spans="1:2" x14ac:dyDescent="0.2">
      <c r="A1" s="129" t="s">
        <v>1264</v>
      </c>
      <c r="B1" s="129" t="s">
        <v>1603</v>
      </c>
    </row>
    <row r="2" spans="1:2" x14ac:dyDescent="0.2">
      <c r="A2" s="130">
        <v>6755</v>
      </c>
      <c r="B2" s="129">
        <v>0</v>
      </c>
    </row>
    <row r="3" spans="1:2" x14ac:dyDescent="0.2">
      <c r="A3" s="130">
        <f>A2+7</f>
        <v>6762</v>
      </c>
      <c r="B3" s="129">
        <v>4</v>
      </c>
    </row>
    <row r="4" spans="1:2" x14ac:dyDescent="0.2">
      <c r="A4" s="130">
        <f t="shared" ref="A4:A45" si="0">A3+7</f>
        <v>6769</v>
      </c>
      <c r="B4" s="129">
        <v>5</v>
      </c>
    </row>
    <row r="5" spans="1:2" x14ac:dyDescent="0.2">
      <c r="A5" s="130">
        <f t="shared" si="0"/>
        <v>6776</v>
      </c>
      <c r="B5" s="129">
        <v>4.5</v>
      </c>
    </row>
    <row r="6" spans="1:2" x14ac:dyDescent="0.2">
      <c r="A6" s="130">
        <f t="shared" si="0"/>
        <v>6783</v>
      </c>
      <c r="B6" s="129">
        <v>2</v>
      </c>
    </row>
    <row r="7" spans="1:2" x14ac:dyDescent="0.2">
      <c r="A7" s="130">
        <f t="shared" si="0"/>
        <v>6790</v>
      </c>
      <c r="B7" s="129">
        <v>1</v>
      </c>
    </row>
    <row r="8" spans="1:2" x14ac:dyDescent="0.2">
      <c r="A8" s="130">
        <f t="shared" si="0"/>
        <v>6797</v>
      </c>
      <c r="B8" s="129">
        <v>0.5</v>
      </c>
    </row>
    <row r="9" spans="1:2" x14ac:dyDescent="0.2">
      <c r="A9" s="130">
        <f t="shared" si="0"/>
        <v>6804</v>
      </c>
      <c r="B9" s="129">
        <v>1</v>
      </c>
    </row>
    <row r="10" spans="1:2" x14ac:dyDescent="0.2">
      <c r="A10" s="130">
        <f t="shared" si="0"/>
        <v>6811</v>
      </c>
      <c r="B10" s="129">
        <v>1</v>
      </c>
    </row>
    <row r="11" spans="1:2" x14ac:dyDescent="0.2">
      <c r="A11" s="130">
        <f t="shared" si="0"/>
        <v>6818</v>
      </c>
      <c r="B11" s="129">
        <v>1</v>
      </c>
    </row>
    <row r="12" spans="1:2" x14ac:dyDescent="0.2">
      <c r="A12" s="130">
        <f t="shared" si="0"/>
        <v>6825</v>
      </c>
      <c r="B12" s="129">
        <v>1</v>
      </c>
    </row>
    <row r="13" spans="1:2" x14ac:dyDescent="0.2">
      <c r="A13" s="130">
        <f t="shared" si="0"/>
        <v>6832</v>
      </c>
      <c r="B13" s="129">
        <v>1</v>
      </c>
    </row>
    <row r="14" spans="1:2" x14ac:dyDescent="0.2">
      <c r="A14" s="130">
        <f t="shared" si="0"/>
        <v>6839</v>
      </c>
      <c r="B14" s="129">
        <v>1</v>
      </c>
    </row>
    <row r="15" spans="1:2" x14ac:dyDescent="0.2">
      <c r="A15" s="130">
        <f t="shared" si="0"/>
        <v>6846</v>
      </c>
      <c r="B15" s="129">
        <v>1</v>
      </c>
    </row>
    <row r="16" spans="1:2" x14ac:dyDescent="0.2">
      <c r="A16" s="130">
        <f t="shared" si="0"/>
        <v>6853</v>
      </c>
      <c r="B16" s="129">
        <v>3</v>
      </c>
    </row>
    <row r="17" spans="1:4" x14ac:dyDescent="0.2">
      <c r="A17" s="130">
        <f t="shared" si="0"/>
        <v>6860</v>
      </c>
      <c r="B17" s="129">
        <v>5</v>
      </c>
    </row>
    <row r="18" spans="1:4" x14ac:dyDescent="0.2">
      <c r="A18" s="130">
        <f t="shared" si="0"/>
        <v>6867</v>
      </c>
      <c r="B18" s="129">
        <v>8</v>
      </c>
    </row>
    <row r="19" spans="1:4" x14ac:dyDescent="0.2">
      <c r="A19" s="130">
        <f t="shared" si="0"/>
        <v>6874</v>
      </c>
      <c r="B19" s="129">
        <v>12</v>
      </c>
    </row>
    <row r="20" spans="1:4" x14ac:dyDescent="0.2">
      <c r="A20" s="130">
        <f t="shared" si="0"/>
        <v>6881</v>
      </c>
      <c r="B20" s="129">
        <v>22</v>
      </c>
    </row>
    <row r="21" spans="1:4" ht="15" x14ac:dyDescent="0.25">
      <c r="A21" s="130">
        <f t="shared" si="0"/>
        <v>6888</v>
      </c>
      <c r="B21" s="129">
        <v>24</v>
      </c>
      <c r="D21" s="138" t="s">
        <v>1606</v>
      </c>
    </row>
    <row r="22" spans="1:4" x14ac:dyDescent="0.2">
      <c r="A22" s="130">
        <f t="shared" si="0"/>
        <v>6895</v>
      </c>
      <c r="B22" s="129">
        <v>19</v>
      </c>
      <c r="D22" s="129" t="s">
        <v>1607</v>
      </c>
    </row>
    <row r="23" spans="1:4" x14ac:dyDescent="0.2">
      <c r="A23" s="130">
        <f t="shared" si="0"/>
        <v>6902</v>
      </c>
      <c r="B23" s="129">
        <v>18</v>
      </c>
      <c r="D23" s="129" t="s">
        <v>1608</v>
      </c>
    </row>
    <row r="24" spans="1:4" x14ac:dyDescent="0.2">
      <c r="A24" s="130">
        <f t="shared" si="0"/>
        <v>6909</v>
      </c>
      <c r="B24" s="129">
        <v>17</v>
      </c>
      <c r="D24" s="129" t="s">
        <v>1605</v>
      </c>
    </row>
    <row r="25" spans="1:4" x14ac:dyDescent="0.2">
      <c r="A25" s="130">
        <f t="shared" si="0"/>
        <v>6916</v>
      </c>
      <c r="B25" s="129">
        <v>12</v>
      </c>
      <c r="D25" s="129" t="s">
        <v>1609</v>
      </c>
    </row>
    <row r="26" spans="1:4" x14ac:dyDescent="0.2">
      <c r="A26" s="130">
        <f t="shared" si="0"/>
        <v>6923</v>
      </c>
      <c r="B26" s="129">
        <v>6</v>
      </c>
      <c r="D26" s="129" t="s">
        <v>1610</v>
      </c>
    </row>
    <row r="27" spans="1:4" x14ac:dyDescent="0.2">
      <c r="A27" s="130">
        <f t="shared" si="0"/>
        <v>6930</v>
      </c>
      <c r="B27" s="129">
        <v>4</v>
      </c>
    </row>
    <row r="28" spans="1:4" x14ac:dyDescent="0.2">
      <c r="A28" s="130">
        <f t="shared" si="0"/>
        <v>6937</v>
      </c>
      <c r="B28" s="129">
        <v>2</v>
      </c>
    </row>
    <row r="29" spans="1:4" x14ac:dyDescent="0.2">
      <c r="A29" s="130">
        <f t="shared" si="0"/>
        <v>6944</v>
      </c>
      <c r="B29" s="129">
        <v>1.5</v>
      </c>
    </row>
    <row r="30" spans="1:4" x14ac:dyDescent="0.2">
      <c r="A30" s="130">
        <f t="shared" si="0"/>
        <v>6951</v>
      </c>
      <c r="B30" s="129">
        <v>1.5</v>
      </c>
    </row>
    <row r="31" spans="1:4" x14ac:dyDescent="0.2">
      <c r="A31" s="130">
        <f t="shared" si="0"/>
        <v>6958</v>
      </c>
      <c r="B31" s="129">
        <v>1.2</v>
      </c>
    </row>
    <row r="32" spans="1:4" x14ac:dyDescent="0.2">
      <c r="A32" s="130">
        <f t="shared" si="0"/>
        <v>6965</v>
      </c>
      <c r="B32" s="129">
        <v>1</v>
      </c>
    </row>
    <row r="33" spans="1:12" x14ac:dyDescent="0.2">
      <c r="A33" s="130">
        <f t="shared" si="0"/>
        <v>6972</v>
      </c>
      <c r="B33" s="129">
        <v>1.2</v>
      </c>
    </row>
    <row r="34" spans="1:12" x14ac:dyDescent="0.2">
      <c r="A34" s="130">
        <f t="shared" si="0"/>
        <v>6979</v>
      </c>
      <c r="B34" s="129">
        <v>2.5</v>
      </c>
    </row>
    <row r="35" spans="1:12" x14ac:dyDescent="0.2">
      <c r="A35" s="130">
        <f t="shared" si="0"/>
        <v>6986</v>
      </c>
      <c r="B35" s="129">
        <v>6</v>
      </c>
    </row>
    <row r="36" spans="1:12" x14ac:dyDescent="0.2">
      <c r="A36" s="130">
        <f t="shared" si="0"/>
        <v>6993</v>
      </c>
      <c r="B36" s="129">
        <v>9</v>
      </c>
    </row>
    <row r="37" spans="1:12" x14ac:dyDescent="0.2">
      <c r="A37" s="130">
        <f t="shared" si="0"/>
        <v>7000</v>
      </c>
      <c r="B37" s="129">
        <v>11.5</v>
      </c>
    </row>
    <row r="38" spans="1:12" x14ac:dyDescent="0.2">
      <c r="A38" s="130">
        <f t="shared" si="0"/>
        <v>7007</v>
      </c>
      <c r="B38" s="129">
        <v>10</v>
      </c>
    </row>
    <row r="39" spans="1:12" x14ac:dyDescent="0.2">
      <c r="A39" s="130">
        <f t="shared" si="0"/>
        <v>7014</v>
      </c>
      <c r="B39" s="129">
        <v>8</v>
      </c>
    </row>
    <row r="40" spans="1:12" x14ac:dyDescent="0.2">
      <c r="A40" s="130">
        <f t="shared" si="0"/>
        <v>7021</v>
      </c>
      <c r="B40" s="129">
        <v>5</v>
      </c>
    </row>
    <row r="41" spans="1:12" x14ac:dyDescent="0.2">
      <c r="A41" s="130">
        <f t="shared" si="0"/>
        <v>7028</v>
      </c>
      <c r="B41" s="129">
        <v>4</v>
      </c>
    </row>
    <row r="42" spans="1:12" x14ac:dyDescent="0.2">
      <c r="A42" s="130">
        <f t="shared" si="0"/>
        <v>7035</v>
      </c>
      <c r="B42" s="129">
        <v>3</v>
      </c>
    </row>
    <row r="43" spans="1:12" x14ac:dyDescent="0.2">
      <c r="A43" s="130">
        <f t="shared" si="0"/>
        <v>7042</v>
      </c>
      <c r="B43" s="129">
        <v>4</v>
      </c>
    </row>
    <row r="44" spans="1:12" x14ac:dyDescent="0.2">
      <c r="A44" s="130">
        <f t="shared" si="0"/>
        <v>7049</v>
      </c>
      <c r="B44" s="129">
        <v>2</v>
      </c>
    </row>
    <row r="45" spans="1:12" x14ac:dyDescent="0.2">
      <c r="A45" s="130">
        <f t="shared" si="0"/>
        <v>7056</v>
      </c>
      <c r="B45" s="129">
        <v>1</v>
      </c>
    </row>
    <row r="46" spans="1:12" x14ac:dyDescent="0.2">
      <c r="A46" s="130"/>
    </row>
    <row r="47" spans="1:12" s="131" customFormat="1" ht="57" x14ac:dyDescent="0.2">
      <c r="A47" s="131" t="s">
        <v>1264</v>
      </c>
      <c r="B47" s="131" t="s">
        <v>1265</v>
      </c>
      <c r="C47" s="131" t="s">
        <v>1560</v>
      </c>
      <c r="D47" s="131" t="s">
        <v>1266</v>
      </c>
      <c r="E47" s="131" t="s">
        <v>1267</v>
      </c>
      <c r="F47" s="131" t="s">
        <v>1279</v>
      </c>
      <c r="G47" s="131" t="s">
        <v>1284</v>
      </c>
      <c r="H47" s="131" t="s">
        <v>1499</v>
      </c>
      <c r="I47" s="129" t="s">
        <v>1604</v>
      </c>
      <c r="J47" s="132"/>
      <c r="K47" s="132"/>
      <c r="L47" s="132"/>
    </row>
    <row r="48" spans="1:12" x14ac:dyDescent="0.2">
      <c r="A48" s="130">
        <v>43891</v>
      </c>
      <c r="B48" s="129">
        <v>1000</v>
      </c>
      <c r="D48" s="129">
        <v>29</v>
      </c>
      <c r="E48" s="133"/>
      <c r="F48" s="134"/>
      <c r="G48" s="134"/>
      <c r="H48" s="134"/>
    </row>
    <row r="49" spans="1:9" x14ac:dyDescent="0.2">
      <c r="A49" s="130">
        <v>43922</v>
      </c>
      <c r="B49" s="135">
        <v>184770</v>
      </c>
      <c r="C49" s="135">
        <f>(B49-B48)/((A49-A48))</f>
        <v>5928.0645161290322</v>
      </c>
      <c r="D49" s="135">
        <v>3746</v>
      </c>
      <c r="E49" s="133">
        <f t="shared" ref="E49:E54" si="1">D49*100/B49</f>
        <v>2.0273853980624561</v>
      </c>
      <c r="F49" s="136">
        <f>(D49-D48)/(A49-A48)</f>
        <v>119.90322580645162</v>
      </c>
      <c r="G49" s="136">
        <f>F49*7</f>
        <v>839.32258064516134</v>
      </c>
      <c r="H49" s="136">
        <f t="shared" ref="H49:H54" si="2">D49-D48</f>
        <v>3717</v>
      </c>
    </row>
    <row r="50" spans="1:9" x14ac:dyDescent="0.2">
      <c r="A50" s="130">
        <v>43952</v>
      </c>
      <c r="B50" s="135">
        <v>1062446</v>
      </c>
      <c r="C50" s="135">
        <f t="shared" ref="C50:C55" si="3">(B50-B49)/((A50-A49))</f>
        <v>29255.866666666665</v>
      </c>
      <c r="D50" s="135">
        <v>62406</v>
      </c>
      <c r="E50" s="133">
        <f t="shared" si="1"/>
        <v>5.8738044098241229</v>
      </c>
      <c r="F50" s="136">
        <f t="shared" ref="F50:F54" si="4">(D50-D49)/(A50-A49)</f>
        <v>1955.3333333333333</v>
      </c>
      <c r="G50" s="136">
        <f t="shared" ref="G50:G54" si="5">F50*7</f>
        <v>13687.333333333332</v>
      </c>
      <c r="H50" s="136">
        <f t="shared" si="2"/>
        <v>58660</v>
      </c>
    </row>
    <row r="51" spans="1:9" x14ac:dyDescent="0.2">
      <c r="A51" s="130">
        <v>43983</v>
      </c>
      <c r="B51" s="135">
        <v>1761503</v>
      </c>
      <c r="C51" s="135">
        <f t="shared" si="3"/>
        <v>22550.225806451614</v>
      </c>
      <c r="D51" s="135">
        <v>103700</v>
      </c>
      <c r="E51" s="133">
        <f t="shared" si="1"/>
        <v>5.8870180749053507</v>
      </c>
      <c r="F51" s="136">
        <f t="shared" si="4"/>
        <v>1332.0645161290322</v>
      </c>
      <c r="G51" s="136">
        <f t="shared" si="5"/>
        <v>9324.4516129032254</v>
      </c>
      <c r="H51" s="136">
        <f t="shared" si="2"/>
        <v>41294</v>
      </c>
    </row>
    <row r="52" spans="1:9" x14ac:dyDescent="0.2">
      <c r="A52" s="130">
        <v>44013</v>
      </c>
      <c r="B52" s="135">
        <v>2581229</v>
      </c>
      <c r="C52" s="135">
        <f t="shared" si="3"/>
        <v>27324.2</v>
      </c>
      <c r="D52" s="144">
        <v>126739</v>
      </c>
      <c r="E52" s="133">
        <f t="shared" si="1"/>
        <v>4.9100254181244667</v>
      </c>
      <c r="F52" s="136">
        <f t="shared" si="4"/>
        <v>767.9666666666667</v>
      </c>
      <c r="G52" s="137">
        <f t="shared" si="5"/>
        <v>5375.7666666666664</v>
      </c>
      <c r="H52" s="136">
        <f t="shared" si="2"/>
        <v>23039</v>
      </c>
      <c r="I52" s="129">
        <f>G52*4/G$52</f>
        <v>4</v>
      </c>
    </row>
    <row r="53" spans="1:9" x14ac:dyDescent="0.2">
      <c r="A53" s="130">
        <v>44044</v>
      </c>
      <c r="B53" s="135">
        <v>4473974</v>
      </c>
      <c r="C53" s="135">
        <f t="shared" si="3"/>
        <v>61056.290322580644</v>
      </c>
      <c r="D53" s="135">
        <v>151499</v>
      </c>
      <c r="E53" s="133">
        <f t="shared" si="1"/>
        <v>3.3862288873381918</v>
      </c>
      <c r="F53" s="136">
        <f t="shared" si="4"/>
        <v>798.70967741935488</v>
      </c>
      <c r="G53" s="137">
        <f t="shared" si="5"/>
        <v>5590.9677419354839</v>
      </c>
      <c r="H53" s="136">
        <f t="shared" si="2"/>
        <v>24760</v>
      </c>
      <c r="I53" s="129">
        <f t="shared" ref="I53:I54" si="6">G53*4/G$52</f>
        <v>4.160126797618064</v>
      </c>
    </row>
    <row r="54" spans="1:9" x14ac:dyDescent="0.2">
      <c r="A54" s="130">
        <v>44075</v>
      </c>
      <c r="B54" s="135">
        <v>6004443</v>
      </c>
      <c r="C54" s="135">
        <f t="shared" si="3"/>
        <v>49369.967741935485</v>
      </c>
      <c r="D54" s="135">
        <v>183050</v>
      </c>
      <c r="E54" s="133">
        <f t="shared" si="1"/>
        <v>3.0485758629068509</v>
      </c>
      <c r="F54" s="136">
        <f t="shared" si="4"/>
        <v>1017.7741935483871</v>
      </c>
      <c r="G54" s="137">
        <f t="shared" si="5"/>
        <v>7124.4193548387093</v>
      </c>
      <c r="H54" s="136">
        <f t="shared" si="2"/>
        <v>31551</v>
      </c>
      <c r="I54" s="129">
        <f t="shared" si="6"/>
        <v>5.3011373421505468</v>
      </c>
    </row>
    <row r="55" spans="1:9" x14ac:dyDescent="0.2">
      <c r="A55" s="130">
        <v>44105</v>
      </c>
      <c r="B55" s="135">
        <v>7213419</v>
      </c>
      <c r="C55" s="135">
        <f t="shared" si="3"/>
        <v>40299.199999999997</v>
      </c>
      <c r="D55" s="135">
        <v>206402</v>
      </c>
      <c r="E55" s="133">
        <f t="shared" ref="E55" si="7">D55*100/B55</f>
        <v>2.8613615817963716</v>
      </c>
      <c r="F55" s="136">
        <f t="shared" ref="F55" si="8">(D55-D54)/(A55-A54)</f>
        <v>778.4</v>
      </c>
      <c r="G55" s="137">
        <f t="shared" ref="G55:G56" si="9">F55*7</f>
        <v>5448.8</v>
      </c>
      <c r="H55" s="136">
        <f t="shared" ref="H55" si="10">D55-D54</f>
        <v>23352</v>
      </c>
      <c r="I55" s="129">
        <f t="shared" ref="I55:I56" si="11">G55*4/G$52</f>
        <v>4.0543426363991495</v>
      </c>
    </row>
    <row r="56" spans="1:9" x14ac:dyDescent="0.2">
      <c r="A56" s="130">
        <f>'death rates'!A18</f>
        <v>44136</v>
      </c>
      <c r="B56" s="135">
        <f>'death rates'!B18</f>
        <v>9105230</v>
      </c>
      <c r="C56" s="135">
        <f>'death rates'!C18</f>
        <v>61026.161290322583</v>
      </c>
      <c r="D56" s="135">
        <f>'death rates'!D18</f>
        <v>229932</v>
      </c>
      <c r="E56" s="133">
        <f>'death rates'!F18</f>
        <v>2.5252739359686687</v>
      </c>
      <c r="F56" s="136">
        <f>'death rates'!G18</f>
        <v>759.0322580645161</v>
      </c>
      <c r="G56" s="137">
        <f t="shared" si="9"/>
        <v>5313.2258064516127</v>
      </c>
      <c r="H56" s="136">
        <f>'death rates'!I18</f>
        <v>23530</v>
      </c>
      <c r="I56" s="129">
        <f t="shared" si="11"/>
        <v>3.9534646020982653</v>
      </c>
    </row>
    <row r="57" spans="1:9" x14ac:dyDescent="0.2">
      <c r="A57" s="130">
        <f>'death rates'!A19</f>
        <v>44166</v>
      </c>
      <c r="B57" s="135">
        <f>'death rates'!B19</f>
        <v>13447627</v>
      </c>
      <c r="C57" s="135">
        <f>'death rates'!C19</f>
        <v>144746.56666666668</v>
      </c>
      <c r="D57" s="135">
        <f>'death rates'!D19</f>
        <v>267302</v>
      </c>
      <c r="E57" s="133">
        <f>'death rates'!F19</f>
        <v>1.987726161649189</v>
      </c>
      <c r="F57" s="136">
        <f>'death rates'!G19</f>
        <v>1245.6666666666667</v>
      </c>
      <c r="G57" s="137">
        <f t="shared" ref="G57" si="12">F57*7</f>
        <v>8719.6666666666679</v>
      </c>
      <c r="H57" s="136">
        <f>'death rates'!I19</f>
        <v>37370</v>
      </c>
      <c r="I57" s="129">
        <f t="shared" ref="I57" si="13">G57*4/G$52</f>
        <v>6.48812882503581</v>
      </c>
    </row>
    <row r="58" spans="1:9" x14ac:dyDescent="0.2">
      <c r="A58" s="130">
        <f>'death rates'!A20</f>
        <v>44175</v>
      </c>
      <c r="B58" s="135">
        <f>'death rates'!B20</f>
        <v>15271571</v>
      </c>
      <c r="C58" s="135">
        <f>'death rates'!C20</f>
        <v>202660.44444444444</v>
      </c>
      <c r="D58" s="135">
        <f>'death rates'!D20</f>
        <v>288762</v>
      </c>
      <c r="E58" s="133">
        <f>'death rates'!F20</f>
        <v>3.1713861154523277</v>
      </c>
      <c r="F58" s="136">
        <f>'death rates'!G20</f>
        <v>2384.4444444444443</v>
      </c>
      <c r="G58" s="137">
        <f t="shared" ref="G58" si="14">F58*7</f>
        <v>16691.111111111109</v>
      </c>
      <c r="H58" s="136">
        <f>'death rates'!I20</f>
        <v>73917.777777777781</v>
      </c>
      <c r="I58" s="129">
        <f t="shared" ref="I58" si="15">G58*4/G$52</f>
        <v>12.419520523170855</v>
      </c>
    </row>
    <row r="59" spans="1:9" x14ac:dyDescent="0.2">
      <c r="A59" s="130">
        <f>'death rates'!A21</f>
        <v>44197</v>
      </c>
      <c r="B59" s="135">
        <f>'death rates'!B21</f>
        <v>19663976</v>
      </c>
      <c r="C59" s="135">
        <f>'death rates'!C21</f>
        <v>199654.77272727274</v>
      </c>
      <c r="D59" s="135">
        <f>'death rates'!D21</f>
        <v>341199</v>
      </c>
      <c r="E59" s="133">
        <f>'death rates'!F21</f>
        <v>2.5372431879617126</v>
      </c>
      <c r="F59" s="136">
        <f>'death rates'!G21</f>
        <v>2383.7741935483873</v>
      </c>
      <c r="G59" s="137">
        <f t="shared" ref="G59" si="16">F59*7</f>
        <v>16686.419354838712</v>
      </c>
      <c r="H59" s="136">
        <f>'death rates'!I21</f>
        <v>73897</v>
      </c>
      <c r="I59" s="129">
        <f>G59*4/G$52</f>
        <v>12.416029481566323</v>
      </c>
    </row>
    <row r="60" spans="1:9" x14ac:dyDescent="0.2">
      <c r="A60" s="130">
        <f>'death rates'!A22</f>
        <v>44228</v>
      </c>
      <c r="B60" s="135">
        <f>'death rates'!B22</f>
        <v>25921703</v>
      </c>
      <c r="C60" s="135">
        <f>'death rates'!C22</f>
        <v>201862.16129032258</v>
      </c>
      <c r="D60" s="135">
        <f>'death rates'!D22</f>
        <v>438035</v>
      </c>
      <c r="E60" s="133">
        <f>'death rates'!F22</f>
        <v>3.2573404958361798</v>
      </c>
      <c r="F60" s="136">
        <f>'death rates'!G22</f>
        <v>3123.7419354838707</v>
      </c>
      <c r="G60" s="137">
        <f t="shared" ref="G60" si="17">F60*7</f>
        <v>21866.193548387095</v>
      </c>
      <c r="H60" s="136">
        <f>'death rates'!I22</f>
        <v>96836</v>
      </c>
      <c r="I60" s="129">
        <f>G60*4/G$52</f>
        <v>16.270195418987999</v>
      </c>
    </row>
    <row r="61" spans="1:9" x14ac:dyDescent="0.2">
      <c r="A61" s="130">
        <f>'death rates'!A23</f>
        <v>44256</v>
      </c>
      <c r="B61" s="135">
        <f>'death rates'!B23</f>
        <v>28405925</v>
      </c>
      <c r="C61" s="135">
        <f>'death rates'!C23</f>
        <v>88722.21428571429</v>
      </c>
      <c r="D61" s="135">
        <f>'death rates'!D23</f>
        <v>511839</v>
      </c>
      <c r="E61" s="133">
        <f>'death rates'!F23</f>
        <v>2.6029273021895469</v>
      </c>
      <c r="F61" s="136">
        <f>'death rates'!G23</f>
        <v>2635.8571428571427</v>
      </c>
      <c r="G61" s="137">
        <f t="shared" ref="G61" si="18">F61*7</f>
        <v>18451</v>
      </c>
      <c r="H61" s="136">
        <f>'death rates'!I23</f>
        <v>73804</v>
      </c>
      <c r="I61" s="129">
        <f>G61*4/G$52</f>
        <v>13.729018496586534</v>
      </c>
    </row>
    <row r="62" spans="1:9" x14ac:dyDescent="0.2">
      <c r="A62" s="130">
        <f>'death rates'!A24</f>
        <v>44287</v>
      </c>
      <c r="B62" s="135">
        <f>'death rates'!B24</f>
        <v>30213759</v>
      </c>
      <c r="C62" s="135">
        <f>'death rates'!C24</f>
        <v>58317.225806451614</v>
      </c>
      <c r="D62" s="135">
        <f>'death rates'!D24</f>
        <v>548162</v>
      </c>
      <c r="E62" s="133">
        <f>'death rates'!F24</f>
        <v>2.1146835915834696</v>
      </c>
      <c r="F62" s="136">
        <f>'death rates'!G24</f>
        <v>1171.7096774193549</v>
      </c>
      <c r="G62" s="137">
        <f t="shared" ref="G62" si="19">F62*7</f>
        <v>8201.9677419354848</v>
      </c>
      <c r="H62" s="136">
        <f>'death rates'!I24</f>
        <v>36323</v>
      </c>
      <c r="I62" s="129">
        <f>G62*4/G$52</f>
        <v>6.1029194535493119</v>
      </c>
    </row>
    <row r="63" spans="1:9" x14ac:dyDescent="0.2">
      <c r="A63" s="130">
        <f>'death rates'!A25</f>
        <v>44317</v>
      </c>
      <c r="B63" s="135">
        <f>'death rates'!B25</f>
        <v>32145557</v>
      </c>
      <c r="C63" s="135">
        <f>'death rates'!C25</f>
        <v>64393.26666666667</v>
      </c>
      <c r="D63" s="135">
        <f>'death rates'!D25</f>
        <v>573012</v>
      </c>
      <c r="E63" s="133">
        <f>'death rates'!F25</f>
        <v>2.017227039781313</v>
      </c>
      <c r="F63" s="136">
        <f>'death rates'!G25</f>
        <v>828.33333333333337</v>
      </c>
      <c r="G63" s="137">
        <f t="shared" ref="G63:G68" si="20">F63*7</f>
        <v>5798.3333333333339</v>
      </c>
      <c r="H63" s="136">
        <f>'death rates'!I25</f>
        <v>24850</v>
      </c>
      <c r="I63" s="129">
        <f t="shared" ref="I63:I68" si="21">G63*4/G$52</f>
        <v>4.3144233690698384</v>
      </c>
    </row>
    <row r="64" spans="1:9" x14ac:dyDescent="0.2">
      <c r="A64" s="130">
        <f>'death rates'!A26</f>
        <v>44348</v>
      </c>
      <c r="B64" s="135">
        <f>'death rates'!B26</f>
        <v>33093238</v>
      </c>
      <c r="C64" s="135">
        <f>'death rates'!C26</f>
        <v>30570.354838709678</v>
      </c>
      <c r="D64" s="135">
        <f>'death rates'!D26</f>
        <v>591539</v>
      </c>
      <c r="E64" s="133">
        <f>'death rates'!F26</f>
        <v>1.9578464235449815</v>
      </c>
      <c r="F64" s="136">
        <f>'death rates'!G26</f>
        <v>597.64516129032256</v>
      </c>
      <c r="G64" s="137">
        <f t="shared" si="20"/>
        <v>4183.5161290322576</v>
      </c>
      <c r="H64" s="136">
        <f>'death rates'!I26</f>
        <v>18527</v>
      </c>
      <c r="I64" s="129">
        <f t="shared" si="21"/>
        <v>3.1128703222726117</v>
      </c>
    </row>
    <row r="65" spans="1:9" x14ac:dyDescent="0.2">
      <c r="A65" s="130">
        <f>'death rates'!A27</f>
        <v>44378</v>
      </c>
      <c r="B65" s="135">
        <f>'death rates'!B27</f>
        <v>33496454</v>
      </c>
      <c r="C65" s="135">
        <f>'death rates'!C27</f>
        <v>13440.533333333333</v>
      </c>
      <c r="D65" s="135">
        <f>'death rates'!D27</f>
        <v>602401</v>
      </c>
      <c r="E65" s="133">
        <f>'death rates'!F27</f>
        <v>1.8739790385340034</v>
      </c>
      <c r="F65" s="136">
        <f>'death rates'!G27</f>
        <v>362.06666666666666</v>
      </c>
      <c r="G65" s="137">
        <f t="shared" si="20"/>
        <v>2534.4666666666667</v>
      </c>
      <c r="H65" s="136">
        <f>'death rates'!I27</f>
        <v>10862</v>
      </c>
      <c r="I65" s="129">
        <f t="shared" si="21"/>
        <v>1.8858457398324582</v>
      </c>
    </row>
    <row r="66" spans="1:9" x14ac:dyDescent="0.2">
      <c r="A66" s="130">
        <f>'death rates'!A28</f>
        <v>44409</v>
      </c>
      <c r="B66" s="135">
        <f>'death rates'!B28</f>
        <v>34926462</v>
      </c>
      <c r="C66" s="135">
        <f>'death rates'!C28</f>
        <v>46129.290322580644</v>
      </c>
      <c r="D66" s="135">
        <f>'death rates'!D28</f>
        <v>610873</v>
      </c>
      <c r="E66" s="133">
        <f>'death rates'!F28</f>
        <v>1.8459148663542686</v>
      </c>
      <c r="F66" s="136">
        <f>'death rates'!G28</f>
        <v>273.29032258064518</v>
      </c>
      <c r="G66" s="137">
        <f t="shared" si="20"/>
        <v>1913.0322580645163</v>
      </c>
      <c r="H66" s="136">
        <f>'death rates'!I28</f>
        <v>8472</v>
      </c>
      <c r="I66" s="129">
        <f t="shared" si="21"/>
        <v>1.4234488784095414</v>
      </c>
    </row>
    <row r="67" spans="1:9" x14ac:dyDescent="0.2">
      <c r="A67" s="130">
        <f>'death rates'!A29</f>
        <v>44440</v>
      </c>
      <c r="B67" s="135">
        <f>'death rates'!B29</f>
        <v>39488866</v>
      </c>
      <c r="C67" s="135">
        <f>'death rates'!C29</f>
        <v>147174.32258064515</v>
      </c>
      <c r="D67" s="135">
        <f>'death rates'!D29</f>
        <v>641725</v>
      </c>
      <c r="E67" s="133">
        <f>'death rates'!F29</f>
        <v>1.9157998037643029</v>
      </c>
      <c r="F67" s="136">
        <f>'death rates'!G29</f>
        <v>995.22580645161293</v>
      </c>
      <c r="G67" s="137">
        <f t="shared" si="20"/>
        <v>6966.5806451612907</v>
      </c>
      <c r="H67" s="136">
        <f>'death rates'!I29</f>
        <v>30852</v>
      </c>
      <c r="I67" s="129">
        <f t="shared" si="21"/>
        <v>5.1836927285990519</v>
      </c>
    </row>
    <row r="68" spans="1:9" x14ac:dyDescent="0.2">
      <c r="A68" s="130">
        <f>'death rates'!A30</f>
        <v>44470</v>
      </c>
      <c r="B68" s="135">
        <f>'death rates'!B30</f>
        <v>43289203</v>
      </c>
      <c r="C68" s="135">
        <f>'death rates'!C30</f>
        <v>126677.9</v>
      </c>
      <c r="D68" s="135">
        <f>'death rates'!D30</f>
        <v>694701</v>
      </c>
      <c r="E68" s="133">
        <f>'death rates'!F30</f>
        <v>1.9890391417258353</v>
      </c>
      <c r="F68" s="136">
        <f>'death rates'!G30</f>
        <v>1765.8666666666666</v>
      </c>
      <c r="G68" s="137">
        <f t="shared" si="20"/>
        <v>12361.066666666666</v>
      </c>
      <c r="H68" s="136">
        <f>'death rates'!I30</f>
        <v>52976</v>
      </c>
      <c r="I68" s="129">
        <f t="shared" si="21"/>
        <v>9.197621424540996</v>
      </c>
    </row>
    <row r="69" spans="1:9" x14ac:dyDescent="0.2">
      <c r="A69" s="130"/>
      <c r="B69" s="135"/>
      <c r="C69" s="135"/>
      <c r="D69" s="135"/>
      <c r="E69" s="133"/>
      <c r="F69" s="136"/>
      <c r="G69" s="136"/>
      <c r="H69" s="136"/>
    </row>
    <row r="70" spans="1:9" x14ac:dyDescent="0.2">
      <c r="A70" s="130"/>
      <c r="B70" s="135"/>
      <c r="C70" s="135"/>
      <c r="D70" s="135"/>
      <c r="E70" s="133"/>
      <c r="F70" s="136"/>
      <c r="G70" s="136"/>
      <c r="H70" s="136"/>
    </row>
    <row r="72" spans="1:9" x14ac:dyDescent="0.2">
      <c r="A72" s="129" t="s">
        <v>1264</v>
      </c>
      <c r="B72" s="129" t="s">
        <v>1611</v>
      </c>
      <c r="C72" s="129" t="s">
        <v>250</v>
      </c>
      <c r="D72" s="129" t="s">
        <v>1612</v>
      </c>
      <c r="F72" s="129" t="s">
        <v>1613</v>
      </c>
      <c r="G72" s="129" t="s">
        <v>1614</v>
      </c>
    </row>
    <row r="73" spans="1:9" x14ac:dyDescent="0.2">
      <c r="A73" s="130">
        <v>43891</v>
      </c>
      <c r="C73" s="135">
        <v>29</v>
      </c>
      <c r="F73" s="135">
        <v>29</v>
      </c>
    </row>
    <row r="74" spans="1:9" x14ac:dyDescent="0.2">
      <c r="A74" s="130">
        <v>43922</v>
      </c>
      <c r="C74" s="135">
        <v>3717</v>
      </c>
      <c r="F74" s="135">
        <v>3717</v>
      </c>
    </row>
    <row r="75" spans="1:9" x14ac:dyDescent="0.2">
      <c r="A75" s="130">
        <v>43952</v>
      </c>
      <c r="C75" s="135">
        <v>58660</v>
      </c>
      <c r="F75" s="135">
        <v>58660</v>
      </c>
    </row>
    <row r="76" spans="1:9" x14ac:dyDescent="0.2">
      <c r="A76" s="130">
        <v>43983</v>
      </c>
      <c r="C76" s="135">
        <v>41294</v>
      </c>
      <c r="F76" s="135">
        <v>41294</v>
      </c>
    </row>
    <row r="77" spans="1:9" x14ac:dyDescent="0.2">
      <c r="A77" s="130">
        <v>44013</v>
      </c>
      <c r="C77" s="135">
        <v>23039</v>
      </c>
      <c r="F77" s="135">
        <v>23039</v>
      </c>
      <c r="G77" s="135">
        <f>SUM(C$73:C77)</f>
        <v>126739</v>
      </c>
    </row>
    <row r="78" spans="1:9" x14ac:dyDescent="0.2">
      <c r="A78" s="130"/>
      <c r="C78" s="135"/>
      <c r="F78" s="135"/>
      <c r="G78" s="135"/>
    </row>
    <row r="79" spans="1:9" x14ac:dyDescent="0.2">
      <c r="A79" s="130">
        <v>44011</v>
      </c>
      <c r="B79" s="129">
        <v>0</v>
      </c>
      <c r="D79" s="129">
        <v>0</v>
      </c>
    </row>
    <row r="80" spans="1:9" ht="15" x14ac:dyDescent="0.25">
      <c r="A80" s="130">
        <f t="shared" ref="A80:A144" si="22">A79+7</f>
        <v>44018</v>
      </c>
      <c r="B80" s="129">
        <v>4</v>
      </c>
      <c r="C80" s="138">
        <v>5771</v>
      </c>
      <c r="D80" s="129">
        <f>C80*4/C$80</f>
        <v>4</v>
      </c>
      <c r="E80" s="138">
        <v>5591</v>
      </c>
    </row>
    <row r="81" spans="1:15" x14ac:dyDescent="0.2">
      <c r="A81" s="130">
        <f t="shared" si="22"/>
        <v>44025</v>
      </c>
      <c r="B81" s="129">
        <v>5</v>
      </c>
      <c r="C81" s="139">
        <f>C$80*B81/4</f>
        <v>7213.75</v>
      </c>
      <c r="D81" s="129">
        <f t="shared" ref="D81:D83" si="23">C81*4/C$80</f>
        <v>5</v>
      </c>
    </row>
    <row r="82" spans="1:15" x14ac:dyDescent="0.2">
      <c r="A82" s="130">
        <f t="shared" si="22"/>
        <v>44032</v>
      </c>
      <c r="B82" s="129">
        <v>4.5</v>
      </c>
      <c r="C82" s="139">
        <f>C$80*B82/4</f>
        <v>6492.375</v>
      </c>
      <c r="D82" s="129">
        <f t="shared" si="23"/>
        <v>4.5</v>
      </c>
    </row>
    <row r="83" spans="1:15" x14ac:dyDescent="0.2">
      <c r="A83" s="130">
        <f t="shared" si="22"/>
        <v>44039</v>
      </c>
      <c r="B83" s="129">
        <v>2</v>
      </c>
      <c r="C83" s="139">
        <f>C$80*B83/4</f>
        <v>2885.5</v>
      </c>
      <c r="D83" s="129">
        <f t="shared" si="23"/>
        <v>2</v>
      </c>
      <c r="E83" s="139">
        <f>AVERAGE(C80:C83)</f>
        <v>5590.65625</v>
      </c>
      <c r="F83" s="135">
        <f>SUM(C80:C83)</f>
        <v>22362.625</v>
      </c>
      <c r="G83" s="135">
        <f>SUM(C$74:C83)</f>
        <v>149072.625</v>
      </c>
    </row>
    <row r="84" spans="1:15" ht="15" x14ac:dyDescent="0.25">
      <c r="A84" s="130">
        <f t="shared" si="22"/>
        <v>44046</v>
      </c>
      <c r="B84" s="129">
        <v>1</v>
      </c>
      <c r="C84" s="140">
        <v>7915</v>
      </c>
      <c r="D84" s="143">
        <f>C84*4/C$80</f>
        <v>5.486050944377058</v>
      </c>
      <c r="E84" s="138">
        <v>7124</v>
      </c>
    </row>
    <row r="85" spans="1:15" x14ac:dyDescent="0.2">
      <c r="A85" s="130">
        <f t="shared" si="22"/>
        <v>44053</v>
      </c>
      <c r="B85" s="129">
        <v>0.5</v>
      </c>
      <c r="C85" s="139">
        <f>C$84*B85/1</f>
        <v>3957.5</v>
      </c>
      <c r="D85" s="143">
        <f t="shared" ref="D85:D92" si="24">C85*4/C$80</f>
        <v>2.743025472188529</v>
      </c>
    </row>
    <row r="86" spans="1:15" x14ac:dyDescent="0.2">
      <c r="A86" s="130">
        <f t="shared" si="22"/>
        <v>44060</v>
      </c>
      <c r="B86" s="129">
        <v>1</v>
      </c>
      <c r="C86" s="139">
        <f>C$84*B86/1</f>
        <v>7915</v>
      </c>
      <c r="D86" s="143">
        <f t="shared" si="24"/>
        <v>5.486050944377058</v>
      </c>
    </row>
    <row r="87" spans="1:15" x14ac:dyDescent="0.2">
      <c r="A87" s="130">
        <f t="shared" si="22"/>
        <v>44067</v>
      </c>
      <c r="B87" s="129">
        <v>1</v>
      </c>
      <c r="C87" s="139">
        <f>C$84*B87/1</f>
        <v>7915</v>
      </c>
      <c r="D87" s="143">
        <f t="shared" si="24"/>
        <v>5.486050944377058</v>
      </c>
    </row>
    <row r="88" spans="1:15" x14ac:dyDescent="0.2">
      <c r="A88" s="130">
        <f t="shared" si="22"/>
        <v>44074</v>
      </c>
      <c r="B88" s="129">
        <v>1</v>
      </c>
      <c r="C88" s="139">
        <f>C$84*B88/1</f>
        <v>7915</v>
      </c>
      <c r="D88" s="143">
        <f t="shared" si="24"/>
        <v>5.486050944377058</v>
      </c>
      <c r="E88" s="139">
        <f>AVERAGE(C84:C88)</f>
        <v>7123.5</v>
      </c>
      <c r="F88" s="135">
        <f>SUM(C84:C88)</f>
        <v>35617.5</v>
      </c>
      <c r="G88" s="135">
        <f>SUM(C$74:C88)</f>
        <v>184690.125</v>
      </c>
    </row>
    <row r="89" spans="1:15" ht="15" x14ac:dyDescent="0.25">
      <c r="A89" s="130">
        <f t="shared" si="22"/>
        <v>44081</v>
      </c>
      <c r="B89" s="129">
        <v>1</v>
      </c>
      <c r="C89" s="138">
        <v>5449</v>
      </c>
      <c r="D89" s="143">
        <f t="shared" si="24"/>
        <v>3.7768151100329233</v>
      </c>
      <c r="E89" s="138">
        <v>5449</v>
      </c>
    </row>
    <row r="90" spans="1:15" x14ac:dyDescent="0.2">
      <c r="A90" s="130">
        <f t="shared" si="22"/>
        <v>44088</v>
      </c>
      <c r="B90" s="129">
        <v>1</v>
      </c>
      <c r="C90" s="139">
        <f>C$89*B90/1</f>
        <v>5449</v>
      </c>
      <c r="D90" s="143">
        <f t="shared" si="24"/>
        <v>3.7768151100329233</v>
      </c>
    </row>
    <row r="91" spans="1:15" x14ac:dyDescent="0.2">
      <c r="A91" s="130">
        <f t="shared" si="22"/>
        <v>44095</v>
      </c>
      <c r="B91" s="129">
        <v>1</v>
      </c>
      <c r="C91" s="139">
        <f>C$89*B91/1</f>
        <v>5449</v>
      </c>
      <c r="D91" s="143">
        <f t="shared" si="24"/>
        <v>3.7768151100329233</v>
      </c>
      <c r="G91" s="135">
        <f>SUM(C$74:C91)</f>
        <v>201037.125</v>
      </c>
    </row>
    <row r="92" spans="1:15" x14ac:dyDescent="0.2">
      <c r="A92" s="130">
        <f t="shared" si="22"/>
        <v>44102</v>
      </c>
      <c r="B92" s="129">
        <v>1</v>
      </c>
      <c r="C92" s="139">
        <f>C$89*B92/1</f>
        <v>5449</v>
      </c>
      <c r="D92" s="143">
        <f t="shared" si="24"/>
        <v>3.7768151100329233</v>
      </c>
      <c r="E92" s="139">
        <f>AVERAGE(C89:C92)</f>
        <v>5449</v>
      </c>
      <c r="F92" s="135">
        <f>SUM(C89:C92)</f>
        <v>21796</v>
      </c>
      <c r="G92" s="135">
        <f>SUM(C$74:C92)</f>
        <v>206486.125</v>
      </c>
    </row>
    <row r="93" spans="1:15" ht="15" x14ac:dyDescent="0.25">
      <c r="A93" s="130">
        <f t="shared" si="22"/>
        <v>44109</v>
      </c>
      <c r="B93" s="129">
        <v>3</v>
      </c>
      <c r="C93" s="140">
        <v>5313</v>
      </c>
      <c r="D93" s="143">
        <f>C93*4/C$80</f>
        <v>3.6825506844567668</v>
      </c>
      <c r="E93" s="138">
        <v>5313</v>
      </c>
      <c r="H93" s="141"/>
      <c r="I93" s="141"/>
      <c r="J93" s="141"/>
      <c r="K93" s="141"/>
      <c r="L93" s="141"/>
      <c r="M93" s="141"/>
      <c r="N93" s="141"/>
      <c r="O93" s="141"/>
    </row>
    <row r="94" spans="1:15" ht="15" x14ac:dyDescent="0.25">
      <c r="A94" s="130">
        <f t="shared" si="22"/>
        <v>44116</v>
      </c>
      <c r="B94" s="129">
        <v>5</v>
      </c>
      <c r="C94" s="139">
        <f>C93</f>
        <v>5313</v>
      </c>
      <c r="D94" s="143">
        <f t="shared" ref="D94:D122" si="25">C94*4/C$80</f>
        <v>3.6825506844567668</v>
      </c>
      <c r="H94" s="142" t="s">
        <v>2223</v>
      </c>
      <c r="I94" s="141"/>
      <c r="J94" s="141"/>
      <c r="K94" s="141"/>
      <c r="L94" s="141"/>
      <c r="M94" s="141"/>
      <c r="N94" s="141"/>
      <c r="O94" s="141"/>
    </row>
    <row r="95" spans="1:15" ht="15" x14ac:dyDescent="0.25">
      <c r="A95" s="130">
        <f t="shared" si="22"/>
        <v>44123</v>
      </c>
      <c r="B95" s="129">
        <v>8</v>
      </c>
      <c r="C95" s="139">
        <f t="shared" ref="C95:C158" si="26">C94</f>
        <v>5313</v>
      </c>
      <c r="D95" s="143">
        <f t="shared" si="25"/>
        <v>3.6825506844567668</v>
      </c>
      <c r="H95" s="142" t="s">
        <v>2222</v>
      </c>
      <c r="I95" s="141"/>
      <c r="J95" s="141"/>
      <c r="K95" s="141"/>
      <c r="L95" s="141"/>
      <c r="M95" s="141"/>
      <c r="N95" s="141"/>
      <c r="O95" s="141"/>
    </row>
    <row r="96" spans="1:15" ht="15" x14ac:dyDescent="0.25">
      <c r="A96" s="130">
        <f t="shared" si="22"/>
        <v>44130</v>
      </c>
      <c r="B96" s="129">
        <v>12</v>
      </c>
      <c r="C96" s="139">
        <f t="shared" si="26"/>
        <v>5313</v>
      </c>
      <c r="D96" s="143">
        <f t="shared" si="25"/>
        <v>3.6825506844567668</v>
      </c>
      <c r="F96" s="135">
        <f>SUM(C93:C96)</f>
        <v>21252</v>
      </c>
      <c r="G96" s="135">
        <f>SUM(C$74:C96)</f>
        <v>227738.125</v>
      </c>
      <c r="H96" s="142" t="s">
        <v>2224</v>
      </c>
      <c r="I96" s="141"/>
      <c r="J96" s="141"/>
      <c r="K96" s="141"/>
      <c r="L96" s="141"/>
      <c r="M96" s="141"/>
      <c r="N96" s="141"/>
      <c r="O96" s="141"/>
    </row>
    <row r="97" spans="1:15" ht="15" x14ac:dyDescent="0.25">
      <c r="A97" s="130">
        <f t="shared" si="22"/>
        <v>44137</v>
      </c>
      <c r="B97" s="129">
        <v>22</v>
      </c>
      <c r="C97" s="140">
        <v>8720</v>
      </c>
      <c r="D97" s="143">
        <f t="shared" si="25"/>
        <v>6.0440131692947494</v>
      </c>
      <c r="E97" s="138">
        <v>8720</v>
      </c>
      <c r="H97" s="141"/>
      <c r="I97" s="141"/>
      <c r="J97" s="141"/>
      <c r="K97" s="141"/>
      <c r="L97" s="141"/>
      <c r="M97" s="141"/>
      <c r="N97" s="141"/>
      <c r="O97" s="141"/>
    </row>
    <row r="98" spans="1:15" x14ac:dyDescent="0.2">
      <c r="A98" s="130">
        <f t="shared" si="22"/>
        <v>44144</v>
      </c>
      <c r="B98" s="129">
        <v>24</v>
      </c>
      <c r="C98" s="139">
        <f t="shared" si="26"/>
        <v>8720</v>
      </c>
      <c r="D98" s="143">
        <f t="shared" si="25"/>
        <v>6.0440131692947494</v>
      </c>
    </row>
    <row r="99" spans="1:15" x14ac:dyDescent="0.2">
      <c r="A99" s="130">
        <f t="shared" si="22"/>
        <v>44151</v>
      </c>
      <c r="B99" s="129">
        <v>19</v>
      </c>
      <c r="C99" s="139">
        <f t="shared" si="26"/>
        <v>8720</v>
      </c>
      <c r="D99" s="143">
        <f t="shared" si="25"/>
        <v>6.0440131692947494</v>
      </c>
    </row>
    <row r="100" spans="1:15" x14ac:dyDescent="0.2">
      <c r="A100" s="130">
        <f t="shared" si="22"/>
        <v>44158</v>
      </c>
      <c r="B100" s="129">
        <v>18</v>
      </c>
      <c r="C100" s="139">
        <f t="shared" si="26"/>
        <v>8720</v>
      </c>
      <c r="D100" s="143">
        <f t="shared" si="25"/>
        <v>6.0440131692947494</v>
      </c>
    </row>
    <row r="101" spans="1:15" x14ac:dyDescent="0.2">
      <c r="A101" s="130">
        <f t="shared" si="22"/>
        <v>44165</v>
      </c>
      <c r="B101" s="129">
        <v>17</v>
      </c>
      <c r="C101" s="139">
        <f t="shared" si="26"/>
        <v>8720</v>
      </c>
      <c r="D101" s="143">
        <f t="shared" si="25"/>
        <v>6.0440131692947494</v>
      </c>
      <c r="F101" s="135">
        <f>SUM(C97:C101)</f>
        <v>43600</v>
      </c>
      <c r="G101" s="135">
        <f>SUM(C$74:C101)</f>
        <v>271338.125</v>
      </c>
    </row>
    <row r="102" spans="1:15" ht="15" x14ac:dyDescent="0.25">
      <c r="A102" s="130">
        <f t="shared" si="22"/>
        <v>44172</v>
      </c>
      <c r="B102" s="129">
        <v>12</v>
      </c>
      <c r="C102" s="140">
        <v>16991</v>
      </c>
      <c r="D102" s="143">
        <f t="shared" si="25"/>
        <v>11.776815110032922</v>
      </c>
      <c r="E102" s="138">
        <v>16991</v>
      </c>
    </row>
    <row r="103" spans="1:15" x14ac:dyDescent="0.2">
      <c r="A103" s="130">
        <f t="shared" si="22"/>
        <v>44179</v>
      </c>
      <c r="B103" s="129">
        <v>6</v>
      </c>
      <c r="C103" s="139">
        <f t="shared" si="26"/>
        <v>16991</v>
      </c>
      <c r="D103" s="143">
        <f t="shared" si="25"/>
        <v>11.776815110032922</v>
      </c>
    </row>
    <row r="104" spans="1:15" x14ac:dyDescent="0.2">
      <c r="A104" s="130">
        <f t="shared" si="22"/>
        <v>44186</v>
      </c>
      <c r="B104" s="129">
        <v>4</v>
      </c>
      <c r="C104" s="139">
        <f t="shared" si="26"/>
        <v>16991</v>
      </c>
      <c r="D104" s="143">
        <f t="shared" si="25"/>
        <v>11.776815110032922</v>
      </c>
      <c r="F104" s="135"/>
    </row>
    <row r="105" spans="1:15" ht="15" x14ac:dyDescent="0.25">
      <c r="A105" s="130">
        <f t="shared" si="22"/>
        <v>44193</v>
      </c>
      <c r="B105" s="129">
        <v>2</v>
      </c>
      <c r="C105" s="140">
        <v>16685</v>
      </c>
      <c r="D105" s="143">
        <f t="shared" si="25"/>
        <v>11.56472015248657</v>
      </c>
      <c r="E105" s="138">
        <v>16685</v>
      </c>
      <c r="F105" s="135">
        <f>SUM(C102:C105)</f>
        <v>67658</v>
      </c>
      <c r="G105" s="145">
        <f>SUM(C$74:C105)</f>
        <v>338996.125</v>
      </c>
    </row>
    <row r="106" spans="1:15" x14ac:dyDescent="0.2">
      <c r="A106" s="130">
        <f t="shared" si="22"/>
        <v>44200</v>
      </c>
      <c r="B106" s="129">
        <v>1.5</v>
      </c>
      <c r="C106" s="139">
        <f t="shared" si="26"/>
        <v>16685</v>
      </c>
      <c r="D106" s="143">
        <f t="shared" si="25"/>
        <v>11.56472015248657</v>
      </c>
    </row>
    <row r="107" spans="1:15" x14ac:dyDescent="0.2">
      <c r="A107" s="130">
        <f t="shared" si="22"/>
        <v>44207</v>
      </c>
      <c r="B107" s="129">
        <v>1.5</v>
      </c>
      <c r="C107" s="139">
        <f t="shared" si="26"/>
        <v>16685</v>
      </c>
      <c r="D107" s="143">
        <f t="shared" si="25"/>
        <v>11.56472015248657</v>
      </c>
    </row>
    <row r="108" spans="1:15" x14ac:dyDescent="0.2">
      <c r="A108" s="130">
        <f t="shared" si="22"/>
        <v>44214</v>
      </c>
      <c r="B108" s="129">
        <v>1.2</v>
      </c>
      <c r="C108" s="139">
        <f t="shared" si="26"/>
        <v>16685</v>
      </c>
      <c r="D108" s="143">
        <f t="shared" si="25"/>
        <v>11.56472015248657</v>
      </c>
    </row>
    <row r="109" spans="1:15" x14ac:dyDescent="0.2">
      <c r="A109" s="130">
        <f t="shared" si="22"/>
        <v>44221</v>
      </c>
      <c r="B109" s="129">
        <v>1</v>
      </c>
      <c r="C109" s="139">
        <f t="shared" si="26"/>
        <v>16685</v>
      </c>
      <c r="D109" s="143">
        <f t="shared" si="25"/>
        <v>11.56472015248657</v>
      </c>
      <c r="F109" s="135">
        <f>SUM(C106:C109)</f>
        <v>66740</v>
      </c>
      <c r="G109" s="135">
        <f>SUM(C$74:C109)</f>
        <v>405736.125</v>
      </c>
    </row>
    <row r="110" spans="1:15" ht="15" x14ac:dyDescent="0.25">
      <c r="A110" s="130">
        <f t="shared" si="22"/>
        <v>44228</v>
      </c>
      <c r="B110" s="129">
        <v>1.2</v>
      </c>
      <c r="C110" s="140">
        <v>21866</v>
      </c>
      <c r="D110" s="143">
        <f t="shared" si="25"/>
        <v>15.155778894472363</v>
      </c>
      <c r="E110" s="140">
        <v>21866</v>
      </c>
    </row>
    <row r="111" spans="1:15" x14ac:dyDescent="0.2">
      <c r="A111" s="130">
        <f t="shared" si="22"/>
        <v>44235</v>
      </c>
      <c r="B111" s="129">
        <v>2.5</v>
      </c>
      <c r="C111" s="139">
        <f t="shared" si="26"/>
        <v>21866</v>
      </c>
      <c r="D111" s="143">
        <f t="shared" si="25"/>
        <v>15.155778894472363</v>
      </c>
    </row>
    <row r="112" spans="1:15" x14ac:dyDescent="0.2">
      <c r="A112" s="130">
        <f t="shared" si="22"/>
        <v>44242</v>
      </c>
      <c r="B112" s="129">
        <v>6</v>
      </c>
      <c r="C112" s="139">
        <f t="shared" si="26"/>
        <v>21866</v>
      </c>
      <c r="D112" s="143">
        <f t="shared" si="25"/>
        <v>15.155778894472363</v>
      </c>
    </row>
    <row r="113" spans="1:9" x14ac:dyDescent="0.2">
      <c r="A113" s="130">
        <f t="shared" si="22"/>
        <v>44249</v>
      </c>
      <c r="B113" s="129">
        <v>9</v>
      </c>
      <c r="C113" s="139">
        <f t="shared" si="26"/>
        <v>21866</v>
      </c>
      <c r="D113" s="143">
        <f t="shared" si="25"/>
        <v>15.155778894472363</v>
      </c>
      <c r="F113" s="135">
        <f>SUM(C110:C113)</f>
        <v>87464</v>
      </c>
      <c r="G113" s="135">
        <f>SUM(C$74:C113)</f>
        <v>493200.125</v>
      </c>
    </row>
    <row r="114" spans="1:9" ht="15" x14ac:dyDescent="0.25">
      <c r="A114" s="130">
        <f t="shared" si="22"/>
        <v>44256</v>
      </c>
      <c r="B114" s="129">
        <v>11.5</v>
      </c>
      <c r="C114" s="140">
        <v>18541</v>
      </c>
      <c r="D114" s="143">
        <f t="shared" si="25"/>
        <v>12.851152313290591</v>
      </c>
      <c r="E114" s="140">
        <v>18541</v>
      </c>
    </row>
    <row r="115" spans="1:9" x14ac:dyDescent="0.2">
      <c r="A115" s="130">
        <f t="shared" si="22"/>
        <v>44263</v>
      </c>
      <c r="B115" s="129">
        <v>10</v>
      </c>
      <c r="C115" s="139">
        <f t="shared" si="26"/>
        <v>18541</v>
      </c>
      <c r="D115" s="143">
        <f t="shared" si="25"/>
        <v>12.851152313290591</v>
      </c>
    </row>
    <row r="116" spans="1:9" x14ac:dyDescent="0.2">
      <c r="A116" s="130">
        <f t="shared" si="22"/>
        <v>44270</v>
      </c>
      <c r="B116" s="129">
        <v>8</v>
      </c>
      <c r="C116" s="139">
        <f t="shared" si="26"/>
        <v>18541</v>
      </c>
      <c r="D116" s="143">
        <f t="shared" si="25"/>
        <v>12.851152313290591</v>
      </c>
    </row>
    <row r="117" spans="1:9" x14ac:dyDescent="0.2">
      <c r="A117" s="130">
        <f t="shared" si="22"/>
        <v>44277</v>
      </c>
      <c r="B117" s="129">
        <v>5</v>
      </c>
      <c r="C117" s="139">
        <f t="shared" si="26"/>
        <v>18541</v>
      </c>
      <c r="D117" s="143">
        <f t="shared" si="25"/>
        <v>12.851152313290591</v>
      </c>
    </row>
    <row r="118" spans="1:9" ht="15" x14ac:dyDescent="0.25">
      <c r="A118" s="130">
        <f t="shared" si="22"/>
        <v>44284</v>
      </c>
      <c r="B118" s="129">
        <v>4</v>
      </c>
      <c r="C118" s="138">
        <v>8202</v>
      </c>
      <c r="D118" s="143">
        <f t="shared" si="25"/>
        <v>5.6849766071737999</v>
      </c>
      <c r="E118" s="138">
        <v>8202</v>
      </c>
      <c r="F118" s="135">
        <f>SUM(C114:C118)</f>
        <v>82366</v>
      </c>
      <c r="G118" s="135">
        <f>SUM(C$74:C118)</f>
        <v>575566.125</v>
      </c>
    </row>
    <row r="119" spans="1:9" x14ac:dyDescent="0.2">
      <c r="A119" s="130">
        <f t="shared" si="22"/>
        <v>44291</v>
      </c>
      <c r="B119" s="129">
        <v>3</v>
      </c>
      <c r="C119" s="139">
        <f t="shared" si="26"/>
        <v>8202</v>
      </c>
      <c r="D119" s="143">
        <f t="shared" si="25"/>
        <v>5.6849766071737999</v>
      </c>
    </row>
    <row r="120" spans="1:9" x14ac:dyDescent="0.2">
      <c r="A120" s="130">
        <f t="shared" si="22"/>
        <v>44298</v>
      </c>
      <c r="B120" s="129">
        <v>4</v>
      </c>
      <c r="C120" s="139">
        <f t="shared" si="26"/>
        <v>8202</v>
      </c>
      <c r="D120" s="143">
        <f t="shared" si="25"/>
        <v>5.6849766071737999</v>
      </c>
    </row>
    <row r="121" spans="1:9" x14ac:dyDescent="0.2">
      <c r="A121" s="130">
        <f t="shared" si="22"/>
        <v>44305</v>
      </c>
      <c r="B121" s="129">
        <v>2</v>
      </c>
      <c r="C121" s="139">
        <f t="shared" si="26"/>
        <v>8202</v>
      </c>
      <c r="D121" s="143">
        <f t="shared" si="25"/>
        <v>5.6849766071737999</v>
      </c>
    </row>
    <row r="122" spans="1:9" ht="15" x14ac:dyDescent="0.25">
      <c r="A122" s="130">
        <f t="shared" si="22"/>
        <v>44312</v>
      </c>
      <c r="B122" s="129">
        <v>1</v>
      </c>
      <c r="C122" s="139">
        <f>E122</f>
        <v>5798.3333333333339</v>
      </c>
      <c r="D122" s="143">
        <f t="shared" si="25"/>
        <v>4.0189453012187375</v>
      </c>
      <c r="E122" s="140">
        <f>G63</f>
        <v>5798.3333333333339</v>
      </c>
      <c r="F122" s="135">
        <f>SUM(C119:C122)</f>
        <v>30404.333333333336</v>
      </c>
      <c r="G122" s="135">
        <f>SUM(C$74:C122)</f>
        <v>605970.45833333337</v>
      </c>
    </row>
    <row r="123" spans="1:9" ht="15" x14ac:dyDescent="0.25">
      <c r="A123" s="130">
        <f t="shared" si="22"/>
        <v>44319</v>
      </c>
      <c r="C123" s="139">
        <f t="shared" si="26"/>
        <v>5798.3333333333339</v>
      </c>
      <c r="D123" s="143">
        <f t="shared" ref="D123:D136" si="27">C123*4/C$80</f>
        <v>4.0189453012187375</v>
      </c>
      <c r="H123" s="145">
        <f>SUM(C73:C122)</f>
        <v>605999.45833333337</v>
      </c>
      <c r="I123" s="129" t="s">
        <v>2456</v>
      </c>
    </row>
    <row r="124" spans="1:9" x14ac:dyDescent="0.2">
      <c r="A124" s="130">
        <f t="shared" si="22"/>
        <v>44326</v>
      </c>
      <c r="C124" s="139">
        <f t="shared" si="26"/>
        <v>5798.3333333333339</v>
      </c>
      <c r="D124" s="143">
        <f t="shared" si="27"/>
        <v>4.0189453012187375</v>
      </c>
    </row>
    <row r="125" spans="1:9" x14ac:dyDescent="0.2">
      <c r="A125" s="130">
        <f t="shared" si="22"/>
        <v>44333</v>
      </c>
      <c r="C125" s="139">
        <f t="shared" si="26"/>
        <v>5798.3333333333339</v>
      </c>
      <c r="D125" s="143">
        <f t="shared" si="27"/>
        <v>4.0189453012187375</v>
      </c>
    </row>
    <row r="126" spans="1:9" x14ac:dyDescent="0.2">
      <c r="A126" s="130">
        <f t="shared" si="22"/>
        <v>44340</v>
      </c>
      <c r="C126" s="139">
        <f t="shared" si="26"/>
        <v>5798.3333333333339</v>
      </c>
      <c r="D126" s="143">
        <f t="shared" si="27"/>
        <v>4.0189453012187375</v>
      </c>
    </row>
    <row r="127" spans="1:9" ht="15" x14ac:dyDescent="0.25">
      <c r="A127" s="130">
        <f t="shared" si="22"/>
        <v>44347</v>
      </c>
      <c r="C127" s="139">
        <f>E127</f>
        <v>4183.5161290322576</v>
      </c>
      <c r="D127" s="143">
        <f t="shared" si="27"/>
        <v>2.8996819469986188</v>
      </c>
      <c r="E127" s="140">
        <f>G64</f>
        <v>4183.5161290322576</v>
      </c>
    </row>
    <row r="128" spans="1:9" x14ac:dyDescent="0.2">
      <c r="A128" s="130">
        <f t="shared" si="22"/>
        <v>44354</v>
      </c>
      <c r="C128" s="139">
        <f t="shared" si="26"/>
        <v>4183.5161290322576</v>
      </c>
      <c r="D128" s="143">
        <f t="shared" si="27"/>
        <v>2.8996819469986188</v>
      </c>
    </row>
    <row r="129" spans="1:7" x14ac:dyDescent="0.2">
      <c r="A129" s="130">
        <f t="shared" si="22"/>
        <v>44361</v>
      </c>
      <c r="C129" s="139">
        <f t="shared" si="26"/>
        <v>4183.5161290322576</v>
      </c>
      <c r="D129" s="143">
        <f t="shared" si="27"/>
        <v>2.8996819469986188</v>
      </c>
    </row>
    <row r="130" spans="1:7" x14ac:dyDescent="0.2">
      <c r="A130" s="130">
        <f t="shared" si="22"/>
        <v>44368</v>
      </c>
      <c r="C130" s="139">
        <f t="shared" si="26"/>
        <v>4183.5161290322576</v>
      </c>
      <c r="D130" s="143">
        <f t="shared" si="27"/>
        <v>2.8996819469986188</v>
      </c>
    </row>
    <row r="131" spans="1:7" ht="15" x14ac:dyDescent="0.25">
      <c r="A131" s="130">
        <f t="shared" si="22"/>
        <v>44375</v>
      </c>
      <c r="C131" s="139">
        <f>E131</f>
        <v>2534.4666666666667</v>
      </c>
      <c r="D131" s="143">
        <f t="shared" si="27"/>
        <v>1.7566915034944839</v>
      </c>
      <c r="E131" s="140">
        <f>G65</f>
        <v>2534.4666666666667</v>
      </c>
    </row>
    <row r="132" spans="1:7" x14ac:dyDescent="0.2">
      <c r="A132" s="130">
        <f t="shared" si="22"/>
        <v>44382</v>
      </c>
      <c r="C132" s="139">
        <f t="shared" si="26"/>
        <v>2534.4666666666667</v>
      </c>
      <c r="D132" s="143">
        <f t="shared" si="27"/>
        <v>1.7566915034944839</v>
      </c>
    </row>
    <row r="133" spans="1:7" x14ac:dyDescent="0.2">
      <c r="A133" s="130">
        <f t="shared" si="22"/>
        <v>44389</v>
      </c>
      <c r="C133" s="139">
        <f t="shared" si="26"/>
        <v>2534.4666666666667</v>
      </c>
      <c r="D133" s="143">
        <f t="shared" si="27"/>
        <v>1.7566915034944839</v>
      </c>
    </row>
    <row r="134" spans="1:7" x14ac:dyDescent="0.2">
      <c r="A134" s="130">
        <f t="shared" si="22"/>
        <v>44396</v>
      </c>
      <c r="C134" s="139">
        <f t="shared" si="26"/>
        <v>2534.4666666666667</v>
      </c>
      <c r="D134" s="143">
        <f t="shared" si="27"/>
        <v>1.7566915034944839</v>
      </c>
    </row>
    <row r="135" spans="1:7" ht="15" x14ac:dyDescent="0.25">
      <c r="A135" s="130">
        <f t="shared" si="22"/>
        <v>44403</v>
      </c>
      <c r="C135" s="139">
        <f>E135</f>
        <v>1913.0322580645163</v>
      </c>
      <c r="D135" s="143">
        <f t="shared" si="27"/>
        <v>1.3259624037875697</v>
      </c>
      <c r="E135" s="140">
        <f>G66</f>
        <v>1913.0322580645163</v>
      </c>
    </row>
    <row r="136" spans="1:7" x14ac:dyDescent="0.2">
      <c r="A136" s="130">
        <f t="shared" si="22"/>
        <v>44410</v>
      </c>
      <c r="C136" s="139">
        <f t="shared" si="26"/>
        <v>1913.0322580645163</v>
      </c>
      <c r="D136" s="143">
        <f t="shared" si="27"/>
        <v>1.3259624037875697</v>
      </c>
    </row>
    <row r="137" spans="1:7" x14ac:dyDescent="0.2">
      <c r="A137" s="130">
        <f t="shared" si="22"/>
        <v>44417</v>
      </c>
      <c r="C137" s="139">
        <f t="shared" si="26"/>
        <v>1913.0322580645163</v>
      </c>
      <c r="D137" s="143">
        <f t="shared" ref="D137:D138" si="28">C137*4/C$80</f>
        <v>1.3259624037875697</v>
      </c>
    </row>
    <row r="138" spans="1:7" x14ac:dyDescent="0.2">
      <c r="A138" s="130">
        <f t="shared" si="22"/>
        <v>44424</v>
      </c>
      <c r="C138" s="139">
        <f t="shared" si="26"/>
        <v>1913.0322580645163</v>
      </c>
      <c r="D138" s="143">
        <f t="shared" si="28"/>
        <v>1.3259624037875697</v>
      </c>
    </row>
    <row r="139" spans="1:7" x14ac:dyDescent="0.2">
      <c r="A139" s="130">
        <f t="shared" si="22"/>
        <v>44431</v>
      </c>
      <c r="C139" s="139">
        <f t="shared" si="26"/>
        <v>1913.0322580645163</v>
      </c>
      <c r="D139" s="143">
        <f t="shared" ref="D139:D142" si="29">C139*4/C$80</f>
        <v>1.3259624037875697</v>
      </c>
    </row>
    <row r="140" spans="1:7" x14ac:dyDescent="0.2">
      <c r="A140" s="130">
        <f t="shared" si="22"/>
        <v>44438</v>
      </c>
      <c r="C140" s="139">
        <f t="shared" si="26"/>
        <v>1913.0322580645163</v>
      </c>
      <c r="D140" s="143">
        <f t="shared" si="29"/>
        <v>1.3259624037875697</v>
      </c>
      <c r="G140" s="270">
        <f>SUM(C73:C140)</f>
        <v>667542.91639784945</v>
      </c>
    </row>
    <row r="141" spans="1:7" x14ac:dyDescent="0.2">
      <c r="A141" s="130">
        <f t="shared" si="22"/>
        <v>44445</v>
      </c>
      <c r="C141" s="139">
        <f t="shared" si="26"/>
        <v>1913.0322580645163</v>
      </c>
      <c r="D141" s="143">
        <f t="shared" si="29"/>
        <v>1.3259624037875697</v>
      </c>
    </row>
    <row r="142" spans="1:7" x14ac:dyDescent="0.2">
      <c r="A142" s="130">
        <f t="shared" si="22"/>
        <v>44452</v>
      </c>
      <c r="C142" s="139">
        <f t="shared" si="26"/>
        <v>1913.0322580645163</v>
      </c>
      <c r="D142" s="143">
        <f t="shared" si="29"/>
        <v>1.3259624037875697</v>
      </c>
    </row>
    <row r="143" spans="1:7" x14ac:dyDescent="0.2">
      <c r="A143" s="130">
        <f t="shared" si="22"/>
        <v>44459</v>
      </c>
      <c r="C143" s="139">
        <f t="shared" si="26"/>
        <v>1913.0322580645163</v>
      </c>
      <c r="D143" s="143">
        <f t="shared" ref="D143:D145" si="30">C143*4/C$80</f>
        <v>1.3259624037875697</v>
      </c>
    </row>
    <row r="144" spans="1:7" x14ac:dyDescent="0.2">
      <c r="A144" s="130">
        <f t="shared" si="22"/>
        <v>44466</v>
      </c>
      <c r="C144" s="139">
        <f t="shared" si="26"/>
        <v>1913.0322580645163</v>
      </c>
      <c r="D144" s="143">
        <f t="shared" si="30"/>
        <v>1.3259624037875697</v>
      </c>
      <c r="G144" s="135">
        <f>SUM(C73:C144)</f>
        <v>675195.04543010739</v>
      </c>
    </row>
    <row r="145" spans="1:7" x14ac:dyDescent="0.2">
      <c r="A145" s="130">
        <f t="shared" ref="A145:A164" si="31">A144+7</f>
        <v>44473</v>
      </c>
      <c r="C145" s="139">
        <f t="shared" si="26"/>
        <v>1913.0322580645163</v>
      </c>
      <c r="D145" s="143">
        <f t="shared" si="30"/>
        <v>1.3259624037875697</v>
      </c>
    </row>
    <row r="146" spans="1:7" x14ac:dyDescent="0.2">
      <c r="A146" s="130">
        <f t="shared" si="31"/>
        <v>44480</v>
      </c>
      <c r="C146" s="139">
        <f t="shared" si="26"/>
        <v>1913.0322580645163</v>
      </c>
      <c r="D146" s="143">
        <f t="shared" ref="D146:D151" si="32">C146*4/C$80</f>
        <v>1.3259624037875697</v>
      </c>
    </row>
    <row r="147" spans="1:7" x14ac:dyDescent="0.2">
      <c r="A147" s="130">
        <f t="shared" si="31"/>
        <v>44487</v>
      </c>
      <c r="C147" s="139">
        <f t="shared" si="26"/>
        <v>1913.0322580645163</v>
      </c>
      <c r="D147" s="143">
        <f t="shared" si="32"/>
        <v>1.3259624037875697</v>
      </c>
    </row>
    <row r="148" spans="1:7" x14ac:dyDescent="0.2">
      <c r="A148" s="130">
        <f t="shared" si="31"/>
        <v>44494</v>
      </c>
      <c r="C148" s="139">
        <f t="shared" si="26"/>
        <v>1913.0322580645163</v>
      </c>
      <c r="D148" s="143">
        <f t="shared" si="32"/>
        <v>1.3259624037875697</v>
      </c>
      <c r="G148" s="135">
        <f>SUM(C73:C148)</f>
        <v>682847.17446236534</v>
      </c>
    </row>
    <row r="149" spans="1:7" x14ac:dyDescent="0.2">
      <c r="A149" s="130">
        <f t="shared" si="31"/>
        <v>44501</v>
      </c>
      <c r="C149" s="139">
        <f t="shared" si="26"/>
        <v>1913.0322580645163</v>
      </c>
      <c r="D149" s="143">
        <f t="shared" si="32"/>
        <v>1.3259624037875697</v>
      </c>
    </row>
    <row r="150" spans="1:7" x14ac:dyDescent="0.2">
      <c r="A150" s="130">
        <f t="shared" si="31"/>
        <v>44508</v>
      </c>
      <c r="C150" s="139">
        <f t="shared" si="26"/>
        <v>1913.0322580645163</v>
      </c>
      <c r="D150" s="143">
        <f t="shared" si="32"/>
        <v>1.3259624037875697</v>
      </c>
    </row>
    <row r="151" spans="1:7" x14ac:dyDescent="0.2">
      <c r="A151" s="130">
        <f t="shared" si="31"/>
        <v>44515</v>
      </c>
      <c r="C151" s="139">
        <f t="shared" si="26"/>
        <v>1913.0322580645163</v>
      </c>
      <c r="D151" s="143">
        <f t="shared" si="32"/>
        <v>1.3259624037875697</v>
      </c>
    </row>
    <row r="152" spans="1:7" x14ac:dyDescent="0.2">
      <c r="A152" s="130">
        <f t="shared" si="31"/>
        <v>44522</v>
      </c>
      <c r="C152" s="139">
        <f t="shared" si="26"/>
        <v>1913.0322580645163</v>
      </c>
      <c r="D152" s="143">
        <f t="shared" ref="D152:D163" si="33">C152*4/C$80</f>
        <v>1.3259624037875697</v>
      </c>
    </row>
    <row r="153" spans="1:7" x14ac:dyDescent="0.2">
      <c r="A153" s="130">
        <f t="shared" si="31"/>
        <v>44529</v>
      </c>
      <c r="C153" s="139">
        <f t="shared" si="26"/>
        <v>1913.0322580645163</v>
      </c>
      <c r="D153" s="143">
        <f t="shared" si="33"/>
        <v>1.3259624037875697</v>
      </c>
      <c r="G153" s="135">
        <f>SUM(C73:C153)</f>
        <v>692412.33575268777</v>
      </c>
    </row>
    <row r="154" spans="1:7" x14ac:dyDescent="0.2">
      <c r="A154" s="130">
        <f t="shared" si="31"/>
        <v>44536</v>
      </c>
      <c r="C154" s="139">
        <f t="shared" si="26"/>
        <v>1913.0322580645163</v>
      </c>
      <c r="D154" s="143">
        <f t="shared" si="33"/>
        <v>1.3259624037875697</v>
      </c>
    </row>
    <row r="155" spans="1:7" x14ac:dyDescent="0.2">
      <c r="A155" s="130">
        <f t="shared" si="31"/>
        <v>44543</v>
      </c>
      <c r="C155" s="139">
        <f t="shared" si="26"/>
        <v>1913.0322580645163</v>
      </c>
      <c r="D155" s="143">
        <f t="shared" si="33"/>
        <v>1.3259624037875697</v>
      </c>
    </row>
    <row r="156" spans="1:7" x14ac:dyDescent="0.2">
      <c r="A156" s="130">
        <f t="shared" si="31"/>
        <v>44550</v>
      </c>
      <c r="C156" s="139">
        <f t="shared" si="26"/>
        <v>1913.0322580645163</v>
      </c>
      <c r="D156" s="143">
        <f t="shared" si="33"/>
        <v>1.3259624037875697</v>
      </c>
    </row>
    <row r="157" spans="1:7" x14ac:dyDescent="0.2">
      <c r="A157" s="130">
        <f t="shared" si="31"/>
        <v>44557</v>
      </c>
      <c r="C157" s="139">
        <f t="shared" si="26"/>
        <v>1913.0322580645163</v>
      </c>
      <c r="D157" s="143">
        <f t="shared" si="33"/>
        <v>1.3259624037875697</v>
      </c>
      <c r="G157" s="135">
        <f>SUM(C73:C157)</f>
        <v>700064.46478494571</v>
      </c>
    </row>
    <row r="158" spans="1:7" x14ac:dyDescent="0.2">
      <c r="A158" s="130">
        <f t="shared" si="31"/>
        <v>44564</v>
      </c>
      <c r="C158" s="139">
        <f t="shared" si="26"/>
        <v>1913.0322580645163</v>
      </c>
      <c r="D158" s="143">
        <f t="shared" si="33"/>
        <v>1.3259624037875697</v>
      </c>
    </row>
    <row r="159" spans="1:7" x14ac:dyDescent="0.2">
      <c r="A159" s="130">
        <f t="shared" si="31"/>
        <v>44571</v>
      </c>
      <c r="C159" s="139">
        <f t="shared" ref="C159:C164" si="34">C158</f>
        <v>1913.0322580645163</v>
      </c>
      <c r="D159" s="143">
        <f t="shared" si="33"/>
        <v>1.3259624037875697</v>
      </c>
    </row>
    <row r="160" spans="1:7" x14ac:dyDescent="0.2">
      <c r="A160" s="130">
        <f t="shared" si="31"/>
        <v>44578</v>
      </c>
      <c r="C160" s="139">
        <f t="shared" si="34"/>
        <v>1913.0322580645163</v>
      </c>
      <c r="D160" s="143">
        <f t="shared" si="33"/>
        <v>1.3259624037875697</v>
      </c>
    </row>
    <row r="161" spans="1:7" x14ac:dyDescent="0.2">
      <c r="A161" s="130">
        <f t="shared" si="31"/>
        <v>44585</v>
      </c>
      <c r="C161" s="139">
        <f t="shared" si="34"/>
        <v>1913.0322580645163</v>
      </c>
      <c r="D161" s="143">
        <f t="shared" si="33"/>
        <v>1.3259624037875697</v>
      </c>
    </row>
    <row r="162" spans="1:7" x14ac:dyDescent="0.2">
      <c r="A162" s="130">
        <f t="shared" si="31"/>
        <v>44592</v>
      </c>
      <c r="C162" s="139">
        <f t="shared" si="34"/>
        <v>1913.0322580645163</v>
      </c>
      <c r="D162" s="143">
        <f t="shared" si="33"/>
        <v>1.3259624037875697</v>
      </c>
      <c r="G162" s="135">
        <f>SUM(C73:C162)</f>
        <v>709629.62607526814</v>
      </c>
    </row>
    <row r="163" spans="1:7" x14ac:dyDescent="0.2">
      <c r="A163" s="130">
        <f t="shared" si="31"/>
        <v>44599</v>
      </c>
      <c r="C163" s="139">
        <f t="shared" si="34"/>
        <v>1913.0322580645163</v>
      </c>
      <c r="D163" s="143">
        <f t="shared" si="33"/>
        <v>1.3259624037875697</v>
      </c>
    </row>
    <row r="164" spans="1:7" x14ac:dyDescent="0.2">
      <c r="A164" s="130">
        <f t="shared" si="31"/>
        <v>44606</v>
      </c>
      <c r="C164" s="139">
        <f t="shared" si="34"/>
        <v>1913.0322580645163</v>
      </c>
      <c r="D164" s="143">
        <f t="shared" ref="D164" si="35">C164*4/C$80</f>
        <v>1.3259624037875697</v>
      </c>
    </row>
    <row r="165" spans="1:7" x14ac:dyDescent="0.2">
      <c r="A165" s="130"/>
      <c r="C165" s="139"/>
      <c r="D165" s="143"/>
    </row>
    <row r="166" spans="1:7" x14ac:dyDescent="0.2">
      <c r="A166" s="130"/>
      <c r="C166" s="139"/>
      <c r="D166" s="143"/>
    </row>
  </sheetData>
  <pageMargins left="0.7" right="0.7" top="0.75" bottom="0.75" header="0.3" footer="0.3"/>
  <pageSetup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4B6A-CC4F-47EF-8BDD-AAC24607376B}">
  <dimension ref="A2:G365"/>
  <sheetViews>
    <sheetView topLeftCell="A2" workbookViewId="0">
      <selection activeCell="G4" sqref="G4"/>
    </sheetView>
  </sheetViews>
  <sheetFormatPr defaultRowHeight="15" x14ac:dyDescent="0.25"/>
  <cols>
    <col min="1" max="1" width="10.140625" style="185" bestFit="1" customWidth="1"/>
    <col min="2" max="4" width="11.5703125" style="185" customWidth="1"/>
    <col min="5" max="16384" width="9.140625" style="185"/>
  </cols>
  <sheetData>
    <row r="2" spans="1:7" s="187" customFormat="1" ht="75" x14ac:dyDescent="0.25">
      <c r="A2" s="83" t="s">
        <v>1264</v>
      </c>
      <c r="B2" s="83" t="s">
        <v>2519</v>
      </c>
      <c r="C2" s="83" t="s">
        <v>2520</v>
      </c>
      <c r="D2" s="83" t="s">
        <v>2521</v>
      </c>
    </row>
    <row r="3" spans="1:7" s="187" customFormat="1" x14ac:dyDescent="0.25">
      <c r="A3" s="83" t="s">
        <v>1942</v>
      </c>
      <c r="B3" s="84">
        <f>SUM(B4:B359)</f>
        <v>20643016</v>
      </c>
      <c r="C3" s="84">
        <f>SUM(C4:C359)</f>
        <v>4056815</v>
      </c>
      <c r="D3" s="84">
        <f>SUM(D4:D359)</f>
        <v>1383024</v>
      </c>
    </row>
    <row r="4" spans="1:7" x14ac:dyDescent="0.25">
      <c r="A4" s="278">
        <v>44262</v>
      </c>
      <c r="B4" s="227">
        <v>40199</v>
      </c>
      <c r="C4" s="227">
        <v>8134</v>
      </c>
      <c r="D4" s="227">
        <v>2802</v>
      </c>
      <c r="G4" s="185" t="s">
        <v>2522</v>
      </c>
    </row>
    <row r="5" spans="1:7" x14ac:dyDescent="0.25">
      <c r="A5" s="278">
        <v>44261</v>
      </c>
      <c r="B5" s="227">
        <v>41401</v>
      </c>
      <c r="C5" s="227">
        <v>8409</v>
      </c>
      <c r="D5" s="227">
        <v>2811</v>
      </c>
    </row>
    <row r="6" spans="1:7" x14ac:dyDescent="0.25">
      <c r="A6" s="278">
        <v>44260</v>
      </c>
      <c r="B6" s="227">
        <v>42541</v>
      </c>
      <c r="C6" s="227">
        <v>8634</v>
      </c>
      <c r="D6" s="227">
        <v>2889</v>
      </c>
    </row>
    <row r="7" spans="1:7" x14ac:dyDescent="0.25">
      <c r="A7" s="278">
        <v>44259</v>
      </c>
      <c r="B7" s="227">
        <v>44172</v>
      </c>
      <c r="C7" s="227">
        <v>8970</v>
      </c>
      <c r="D7" s="227">
        <v>2973</v>
      </c>
    </row>
    <row r="8" spans="1:7" x14ac:dyDescent="0.25">
      <c r="A8" s="278">
        <v>44258</v>
      </c>
      <c r="B8" s="227">
        <v>45462</v>
      </c>
      <c r="C8" s="227">
        <v>9359</v>
      </c>
      <c r="D8" s="227">
        <v>3094</v>
      </c>
    </row>
    <row r="9" spans="1:7" x14ac:dyDescent="0.25">
      <c r="A9" s="278">
        <v>44257</v>
      </c>
      <c r="B9" s="227">
        <v>46388</v>
      </c>
      <c r="C9" s="227">
        <v>9465</v>
      </c>
      <c r="D9" s="227">
        <v>3169</v>
      </c>
    </row>
    <row r="10" spans="1:7" x14ac:dyDescent="0.25">
      <c r="A10" s="278">
        <v>44256</v>
      </c>
      <c r="B10" s="227">
        <v>46738</v>
      </c>
      <c r="C10" s="227">
        <v>9595</v>
      </c>
      <c r="D10" s="227">
        <v>3171</v>
      </c>
    </row>
    <row r="11" spans="1:7" x14ac:dyDescent="0.25">
      <c r="A11" s="278">
        <v>44255</v>
      </c>
      <c r="B11" s="227">
        <v>47352</v>
      </c>
      <c r="C11" s="227">
        <v>9802</v>
      </c>
      <c r="D11" s="227">
        <v>3245</v>
      </c>
    </row>
    <row r="12" spans="1:7" x14ac:dyDescent="0.25">
      <c r="A12" s="278">
        <v>44254</v>
      </c>
      <c r="B12" s="227">
        <v>48871</v>
      </c>
      <c r="C12" s="227">
        <v>10114</v>
      </c>
      <c r="D12" s="227">
        <v>3335</v>
      </c>
    </row>
    <row r="13" spans="1:7" x14ac:dyDescent="0.25">
      <c r="A13" s="278">
        <v>44253</v>
      </c>
      <c r="B13" s="227">
        <v>51112</v>
      </c>
      <c r="C13" s="227">
        <v>10466</v>
      </c>
      <c r="D13" s="227">
        <v>3466</v>
      </c>
    </row>
    <row r="14" spans="1:7" x14ac:dyDescent="0.25">
      <c r="A14" s="278">
        <v>44252</v>
      </c>
      <c r="B14" s="227">
        <v>52669</v>
      </c>
      <c r="C14" s="227">
        <v>10846</v>
      </c>
      <c r="D14" s="227">
        <v>3567</v>
      </c>
    </row>
    <row r="15" spans="1:7" x14ac:dyDescent="0.25">
      <c r="A15" s="278">
        <v>44251</v>
      </c>
      <c r="B15" s="227">
        <v>54118</v>
      </c>
      <c r="C15" s="227">
        <v>11026</v>
      </c>
      <c r="D15" s="227">
        <v>3685</v>
      </c>
    </row>
    <row r="16" spans="1:7" x14ac:dyDescent="0.25">
      <c r="A16" s="278">
        <v>44250</v>
      </c>
      <c r="B16" s="227">
        <v>55058</v>
      </c>
      <c r="C16" s="227">
        <v>11272</v>
      </c>
      <c r="D16" s="227">
        <v>3755</v>
      </c>
    </row>
    <row r="17" spans="1:4" x14ac:dyDescent="0.25">
      <c r="A17" s="278">
        <v>44249</v>
      </c>
      <c r="B17" s="227">
        <v>55403</v>
      </c>
      <c r="C17" s="227">
        <v>11536</v>
      </c>
      <c r="D17" s="227">
        <v>3804</v>
      </c>
    </row>
    <row r="18" spans="1:4" x14ac:dyDescent="0.25">
      <c r="A18" s="278">
        <v>44248</v>
      </c>
      <c r="B18" s="227">
        <v>56159</v>
      </c>
      <c r="C18" s="227">
        <v>11862</v>
      </c>
      <c r="D18" s="227">
        <v>3915</v>
      </c>
    </row>
    <row r="19" spans="1:4" x14ac:dyDescent="0.25">
      <c r="A19" s="278">
        <v>44247</v>
      </c>
      <c r="B19" s="227">
        <v>58222</v>
      </c>
      <c r="C19" s="227">
        <v>12120</v>
      </c>
      <c r="D19" s="227">
        <v>3932</v>
      </c>
    </row>
    <row r="20" spans="1:4" x14ac:dyDescent="0.25">
      <c r="A20" s="278">
        <v>44246</v>
      </c>
      <c r="B20" s="227">
        <v>59882</v>
      </c>
      <c r="C20" s="227">
        <v>12491</v>
      </c>
      <c r="D20" s="227">
        <v>4118</v>
      </c>
    </row>
    <row r="21" spans="1:4" x14ac:dyDescent="0.25">
      <c r="A21" s="278">
        <v>44245</v>
      </c>
      <c r="B21" s="227">
        <v>62224</v>
      </c>
      <c r="C21" s="227">
        <v>13036</v>
      </c>
      <c r="D21" s="227">
        <v>4180</v>
      </c>
    </row>
    <row r="22" spans="1:4" x14ac:dyDescent="0.25">
      <c r="A22" s="278">
        <v>44244</v>
      </c>
      <c r="B22" s="227">
        <v>63329</v>
      </c>
      <c r="C22" s="227">
        <v>13094</v>
      </c>
      <c r="D22" s="227">
        <v>4271</v>
      </c>
    </row>
    <row r="23" spans="1:4" x14ac:dyDescent="0.25">
      <c r="A23" s="278">
        <v>44243</v>
      </c>
      <c r="B23" s="227">
        <v>64457</v>
      </c>
      <c r="C23" s="227">
        <v>13607</v>
      </c>
      <c r="D23" s="227">
        <v>4415</v>
      </c>
    </row>
    <row r="24" spans="1:4" x14ac:dyDescent="0.25">
      <c r="A24" s="278">
        <v>44242</v>
      </c>
      <c r="B24" s="227">
        <v>65379</v>
      </c>
      <c r="C24" s="227">
        <v>13790</v>
      </c>
      <c r="D24" s="227">
        <v>4468</v>
      </c>
    </row>
    <row r="25" spans="1:4" x14ac:dyDescent="0.25">
      <c r="A25" s="278">
        <v>44241</v>
      </c>
      <c r="B25" s="227">
        <v>66947</v>
      </c>
      <c r="C25" s="227">
        <v>14038</v>
      </c>
      <c r="D25" s="227">
        <v>4542</v>
      </c>
    </row>
    <row r="26" spans="1:4" x14ac:dyDescent="0.25">
      <c r="A26" s="278">
        <v>44240</v>
      </c>
      <c r="B26" s="227">
        <v>69207</v>
      </c>
      <c r="C26" s="227">
        <v>14387</v>
      </c>
      <c r="D26" s="227">
        <v>4648</v>
      </c>
    </row>
    <row r="27" spans="1:4" x14ac:dyDescent="0.25">
      <c r="A27" s="278">
        <v>44239</v>
      </c>
      <c r="B27" s="227">
        <v>71471</v>
      </c>
      <c r="C27" s="227">
        <v>14766</v>
      </c>
      <c r="D27" s="227">
        <v>4849</v>
      </c>
    </row>
    <row r="28" spans="1:4" x14ac:dyDescent="0.25">
      <c r="A28" s="278">
        <v>44238</v>
      </c>
      <c r="B28" s="227">
        <v>74208</v>
      </c>
      <c r="C28" s="227">
        <v>15181</v>
      </c>
      <c r="D28" s="227">
        <v>4970</v>
      </c>
    </row>
    <row r="29" spans="1:4" x14ac:dyDescent="0.25">
      <c r="A29" s="278">
        <v>44237</v>
      </c>
      <c r="B29" s="227">
        <v>76979</v>
      </c>
      <c r="C29" s="227">
        <v>15788</v>
      </c>
      <c r="D29" s="227">
        <v>5121</v>
      </c>
    </row>
    <row r="30" spans="1:4" x14ac:dyDescent="0.25">
      <c r="A30" s="278">
        <v>44236</v>
      </c>
      <c r="B30" s="227">
        <v>79179</v>
      </c>
      <c r="C30" s="227">
        <v>16129</v>
      </c>
      <c r="D30" s="227">
        <v>5216</v>
      </c>
    </row>
    <row r="31" spans="1:4" x14ac:dyDescent="0.25">
      <c r="A31" s="278">
        <v>44235</v>
      </c>
      <c r="B31" s="227">
        <v>80055</v>
      </c>
      <c r="C31" s="227">
        <v>16174</v>
      </c>
      <c r="D31" s="227">
        <v>5260</v>
      </c>
    </row>
    <row r="32" spans="1:4" x14ac:dyDescent="0.25">
      <c r="A32" s="278">
        <v>44234</v>
      </c>
      <c r="B32" s="227">
        <v>81439</v>
      </c>
      <c r="C32" s="227">
        <v>16616</v>
      </c>
      <c r="D32" s="227">
        <v>5342</v>
      </c>
    </row>
    <row r="33" spans="1:4" x14ac:dyDescent="0.25">
      <c r="A33" s="278">
        <v>44233</v>
      </c>
      <c r="B33" s="227">
        <v>84233</v>
      </c>
      <c r="C33" s="227">
        <v>17093</v>
      </c>
      <c r="D33" s="227">
        <v>5475</v>
      </c>
    </row>
    <row r="34" spans="1:4" x14ac:dyDescent="0.25">
      <c r="A34" s="278">
        <v>44232</v>
      </c>
      <c r="B34" s="227">
        <v>86373</v>
      </c>
      <c r="C34" s="227">
        <v>17284</v>
      </c>
      <c r="D34" s="227">
        <v>5596</v>
      </c>
    </row>
    <row r="35" spans="1:4" x14ac:dyDescent="0.25">
      <c r="A35" s="278">
        <v>44231</v>
      </c>
      <c r="B35" s="227">
        <v>88668</v>
      </c>
      <c r="C35" s="227">
        <v>17918</v>
      </c>
      <c r="D35" s="227">
        <v>5732</v>
      </c>
    </row>
    <row r="36" spans="1:4" x14ac:dyDescent="0.25">
      <c r="A36" s="278">
        <v>44230</v>
      </c>
      <c r="B36" s="227">
        <v>91440</v>
      </c>
      <c r="C36" s="227">
        <v>18147</v>
      </c>
      <c r="D36" s="227">
        <v>5920</v>
      </c>
    </row>
    <row r="37" spans="1:4" x14ac:dyDescent="0.25">
      <c r="A37" s="278">
        <v>44229</v>
      </c>
      <c r="B37" s="227">
        <v>92880</v>
      </c>
      <c r="C37" s="227">
        <v>18388</v>
      </c>
      <c r="D37" s="227">
        <v>6047</v>
      </c>
    </row>
    <row r="38" spans="1:4" x14ac:dyDescent="0.25">
      <c r="A38" s="278">
        <v>44228</v>
      </c>
      <c r="B38" s="227">
        <v>93536</v>
      </c>
      <c r="C38" s="227">
        <v>18572</v>
      </c>
      <c r="D38" s="227">
        <v>6086</v>
      </c>
    </row>
    <row r="39" spans="1:4" x14ac:dyDescent="0.25">
      <c r="A39" s="278">
        <v>44227</v>
      </c>
      <c r="B39" s="227">
        <v>95013</v>
      </c>
      <c r="C39" s="227">
        <v>18968</v>
      </c>
      <c r="D39" s="227">
        <v>6291</v>
      </c>
    </row>
    <row r="40" spans="1:4" x14ac:dyDescent="0.25">
      <c r="A40" s="278">
        <v>44226</v>
      </c>
      <c r="B40" s="227">
        <v>97561</v>
      </c>
      <c r="C40" s="227">
        <v>19130</v>
      </c>
      <c r="D40" s="227">
        <v>6329</v>
      </c>
    </row>
    <row r="41" spans="1:4" x14ac:dyDescent="0.25">
      <c r="A41" s="278">
        <v>44225</v>
      </c>
      <c r="B41" s="227">
        <v>101003</v>
      </c>
      <c r="C41" s="227">
        <v>19609</v>
      </c>
      <c r="D41" s="227">
        <v>6483</v>
      </c>
    </row>
    <row r="42" spans="1:4" x14ac:dyDescent="0.25">
      <c r="A42" s="278">
        <v>44224</v>
      </c>
      <c r="B42" s="227">
        <v>104303</v>
      </c>
      <c r="C42" s="227">
        <v>20113</v>
      </c>
      <c r="D42" s="227">
        <v>6642</v>
      </c>
    </row>
    <row r="43" spans="1:4" x14ac:dyDescent="0.25">
      <c r="A43" s="278">
        <v>44223</v>
      </c>
      <c r="B43" s="227">
        <v>107444</v>
      </c>
      <c r="C43" s="227">
        <v>20497</v>
      </c>
      <c r="D43" s="227">
        <v>6806</v>
      </c>
    </row>
    <row r="44" spans="1:4" x14ac:dyDescent="0.25">
      <c r="A44" s="278">
        <v>44222</v>
      </c>
      <c r="B44" s="227">
        <v>108960</v>
      </c>
      <c r="C44" s="227">
        <v>20573</v>
      </c>
      <c r="D44" s="227">
        <v>6832</v>
      </c>
    </row>
    <row r="45" spans="1:4" x14ac:dyDescent="0.25">
      <c r="A45" s="278">
        <v>44221</v>
      </c>
      <c r="B45" s="227">
        <v>109938</v>
      </c>
      <c r="C45" s="227">
        <v>20875</v>
      </c>
      <c r="D45" s="227">
        <v>6857</v>
      </c>
    </row>
    <row r="46" spans="1:4" x14ac:dyDescent="0.25">
      <c r="A46" s="278">
        <v>44220</v>
      </c>
      <c r="B46" s="227">
        <v>110628</v>
      </c>
      <c r="C46" s="227">
        <v>21168</v>
      </c>
      <c r="D46" s="227">
        <v>6989</v>
      </c>
    </row>
    <row r="47" spans="1:4" x14ac:dyDescent="0.25">
      <c r="A47" s="278">
        <v>44219</v>
      </c>
      <c r="B47" s="227">
        <v>113609</v>
      </c>
      <c r="C47" s="227">
        <v>21657</v>
      </c>
      <c r="D47" s="227">
        <v>7110</v>
      </c>
    </row>
    <row r="48" spans="1:4" x14ac:dyDescent="0.25">
      <c r="A48" s="278">
        <v>44218</v>
      </c>
      <c r="B48" s="227">
        <v>116264</v>
      </c>
      <c r="C48" s="227">
        <v>22008</v>
      </c>
      <c r="D48" s="227">
        <v>7236</v>
      </c>
    </row>
    <row r="49" spans="1:4" x14ac:dyDescent="0.25">
      <c r="A49" s="278">
        <v>44217</v>
      </c>
      <c r="B49" s="227">
        <v>119949</v>
      </c>
      <c r="C49" s="227">
        <v>22309</v>
      </c>
      <c r="D49" s="227">
        <v>7370</v>
      </c>
    </row>
    <row r="50" spans="1:4" x14ac:dyDescent="0.25">
      <c r="A50" s="278">
        <v>44216</v>
      </c>
      <c r="B50" s="227">
        <v>122754</v>
      </c>
      <c r="C50" s="227">
        <v>22834</v>
      </c>
      <c r="D50" s="227">
        <v>7564</v>
      </c>
    </row>
    <row r="51" spans="1:4" x14ac:dyDescent="0.25">
      <c r="A51" s="278">
        <v>44215</v>
      </c>
      <c r="B51" s="227">
        <v>123910</v>
      </c>
      <c r="C51" s="227">
        <v>23054</v>
      </c>
      <c r="D51" s="227">
        <v>7688</v>
      </c>
    </row>
    <row r="52" spans="1:4" x14ac:dyDescent="0.25">
      <c r="A52" s="278">
        <v>44214</v>
      </c>
      <c r="B52" s="227">
        <v>123848</v>
      </c>
      <c r="C52" s="227">
        <v>23226</v>
      </c>
      <c r="D52" s="227">
        <v>7772</v>
      </c>
    </row>
    <row r="53" spans="1:4" x14ac:dyDescent="0.25">
      <c r="A53" s="278">
        <v>44213</v>
      </c>
      <c r="B53" s="227">
        <v>124387</v>
      </c>
      <c r="C53" s="227">
        <v>23432</v>
      </c>
      <c r="D53" s="227">
        <v>7797</v>
      </c>
    </row>
    <row r="54" spans="1:4" x14ac:dyDescent="0.25">
      <c r="A54" s="278">
        <v>44212</v>
      </c>
      <c r="B54" s="227">
        <v>126139</v>
      </c>
      <c r="C54" s="227">
        <v>23524</v>
      </c>
      <c r="D54" s="227">
        <v>7755</v>
      </c>
    </row>
    <row r="55" spans="1:4" x14ac:dyDescent="0.25">
      <c r="A55" s="278">
        <v>44211</v>
      </c>
      <c r="B55" s="227">
        <v>127235</v>
      </c>
      <c r="C55" s="227">
        <v>23593</v>
      </c>
      <c r="D55" s="227">
        <v>7772</v>
      </c>
    </row>
    <row r="56" spans="1:4" x14ac:dyDescent="0.25">
      <c r="A56" s="278">
        <v>44210</v>
      </c>
      <c r="B56" s="227">
        <v>128947</v>
      </c>
      <c r="C56" s="227">
        <v>23891</v>
      </c>
      <c r="D56" s="227">
        <v>7878</v>
      </c>
    </row>
    <row r="57" spans="1:4" x14ac:dyDescent="0.25">
      <c r="A57" s="278">
        <v>44209</v>
      </c>
      <c r="B57" s="227">
        <v>130391</v>
      </c>
      <c r="C57" s="227">
        <v>23857</v>
      </c>
      <c r="D57" s="227">
        <v>7902</v>
      </c>
    </row>
    <row r="58" spans="1:4" x14ac:dyDescent="0.25">
      <c r="A58" s="278">
        <v>44208</v>
      </c>
      <c r="B58" s="227">
        <v>131326</v>
      </c>
      <c r="C58" s="227">
        <v>23881</v>
      </c>
      <c r="D58" s="227">
        <v>7879</v>
      </c>
    </row>
    <row r="59" spans="1:4" x14ac:dyDescent="0.25">
      <c r="A59" s="278">
        <v>44207</v>
      </c>
      <c r="B59" s="227">
        <v>129793</v>
      </c>
      <c r="C59" s="227">
        <v>23501</v>
      </c>
      <c r="D59" s="227">
        <v>7786</v>
      </c>
    </row>
    <row r="60" spans="1:4" x14ac:dyDescent="0.25">
      <c r="A60" s="278">
        <v>44206</v>
      </c>
      <c r="B60" s="227">
        <v>129223</v>
      </c>
      <c r="C60" s="227">
        <v>23640</v>
      </c>
      <c r="D60" s="227">
        <v>7878</v>
      </c>
    </row>
    <row r="61" spans="1:4" x14ac:dyDescent="0.25">
      <c r="A61" s="278">
        <v>44205</v>
      </c>
      <c r="B61" s="227">
        <v>130781</v>
      </c>
      <c r="C61" s="227">
        <v>23718</v>
      </c>
      <c r="D61" s="227">
        <v>7791</v>
      </c>
    </row>
    <row r="62" spans="1:4" x14ac:dyDescent="0.25">
      <c r="A62" s="278">
        <v>44204</v>
      </c>
      <c r="B62" s="227">
        <v>131921</v>
      </c>
      <c r="C62" s="227">
        <v>23912</v>
      </c>
      <c r="D62" s="227">
        <v>7908</v>
      </c>
    </row>
    <row r="63" spans="1:4" x14ac:dyDescent="0.25">
      <c r="A63" s="278">
        <v>44203</v>
      </c>
      <c r="B63" s="227">
        <v>132370</v>
      </c>
      <c r="C63" s="227">
        <v>23821</v>
      </c>
      <c r="D63" s="227">
        <v>7900</v>
      </c>
    </row>
    <row r="64" spans="1:4" x14ac:dyDescent="0.25">
      <c r="A64" s="278">
        <v>44202</v>
      </c>
      <c r="B64" s="227">
        <v>132474</v>
      </c>
      <c r="C64" s="227">
        <v>23708</v>
      </c>
      <c r="D64" s="227">
        <v>7946</v>
      </c>
    </row>
    <row r="65" spans="1:4" x14ac:dyDescent="0.25">
      <c r="A65" s="278">
        <v>44201</v>
      </c>
      <c r="B65" s="227">
        <v>131195</v>
      </c>
      <c r="C65" s="227">
        <v>23509</v>
      </c>
      <c r="D65" s="227">
        <v>7976</v>
      </c>
    </row>
    <row r="66" spans="1:4" x14ac:dyDescent="0.25">
      <c r="A66" s="278">
        <v>44200</v>
      </c>
      <c r="B66" s="227">
        <v>128210</v>
      </c>
      <c r="C66" s="227">
        <v>23435</v>
      </c>
      <c r="D66" s="227">
        <v>7930</v>
      </c>
    </row>
    <row r="67" spans="1:4" x14ac:dyDescent="0.25">
      <c r="A67" s="278">
        <v>44199</v>
      </c>
      <c r="B67" s="227">
        <v>125562</v>
      </c>
      <c r="C67" s="227">
        <v>23243</v>
      </c>
      <c r="D67" s="227">
        <v>7939</v>
      </c>
    </row>
    <row r="68" spans="1:4" x14ac:dyDescent="0.25">
      <c r="A68" s="278">
        <v>44198</v>
      </c>
      <c r="B68" s="227">
        <v>123614</v>
      </c>
      <c r="C68" s="227">
        <v>23133</v>
      </c>
      <c r="D68" s="227">
        <v>7910</v>
      </c>
    </row>
    <row r="69" spans="1:4" x14ac:dyDescent="0.25">
      <c r="A69" s="278">
        <v>44197</v>
      </c>
      <c r="B69" s="227">
        <v>125047</v>
      </c>
      <c r="C69" s="227">
        <v>23255</v>
      </c>
      <c r="D69" s="227">
        <v>7990</v>
      </c>
    </row>
    <row r="70" spans="1:4" x14ac:dyDescent="0.25">
      <c r="A70" s="278">
        <v>44196</v>
      </c>
      <c r="B70" s="227">
        <v>125423</v>
      </c>
      <c r="C70" s="227">
        <v>23097</v>
      </c>
      <c r="D70" s="227">
        <v>8004</v>
      </c>
    </row>
    <row r="71" spans="1:4" x14ac:dyDescent="0.25">
      <c r="A71" s="278">
        <v>44195</v>
      </c>
      <c r="B71" s="227">
        <v>125220</v>
      </c>
      <c r="C71" s="227">
        <v>23069</v>
      </c>
      <c r="D71" s="227">
        <v>7930</v>
      </c>
    </row>
    <row r="72" spans="1:4" x14ac:dyDescent="0.25">
      <c r="A72" s="278">
        <v>44194</v>
      </c>
      <c r="B72" s="227">
        <v>124686</v>
      </c>
      <c r="C72" s="227">
        <v>22838</v>
      </c>
      <c r="D72" s="227">
        <v>7885</v>
      </c>
    </row>
    <row r="73" spans="1:4" x14ac:dyDescent="0.25">
      <c r="A73" s="278">
        <v>44193</v>
      </c>
      <c r="B73" s="227">
        <v>121202</v>
      </c>
      <c r="C73" s="227">
        <v>22579</v>
      </c>
      <c r="D73" s="227">
        <v>7948</v>
      </c>
    </row>
    <row r="74" spans="1:4" x14ac:dyDescent="0.25">
      <c r="A74" s="278">
        <v>44192</v>
      </c>
      <c r="B74" s="227">
        <v>118720</v>
      </c>
      <c r="C74" s="227">
        <v>22447</v>
      </c>
      <c r="D74" s="227">
        <v>7878</v>
      </c>
    </row>
    <row r="75" spans="1:4" x14ac:dyDescent="0.25">
      <c r="A75" s="278">
        <v>44191</v>
      </c>
      <c r="B75" s="227">
        <v>117344</v>
      </c>
      <c r="C75" s="227">
        <v>22373</v>
      </c>
      <c r="D75" s="227">
        <v>7809</v>
      </c>
    </row>
    <row r="76" spans="1:4" x14ac:dyDescent="0.25">
      <c r="A76" s="278">
        <v>44190</v>
      </c>
      <c r="B76" s="227">
        <v>118948</v>
      </c>
      <c r="C76" s="227">
        <v>22418</v>
      </c>
      <c r="D76" s="227">
        <v>7831</v>
      </c>
    </row>
    <row r="77" spans="1:4" x14ac:dyDescent="0.25">
      <c r="A77" s="278">
        <v>44189</v>
      </c>
      <c r="B77" s="227">
        <v>120200</v>
      </c>
      <c r="C77" s="227">
        <v>22623</v>
      </c>
      <c r="D77" s="227">
        <v>7792</v>
      </c>
    </row>
    <row r="78" spans="1:4" x14ac:dyDescent="0.25">
      <c r="A78" s="278">
        <v>44188</v>
      </c>
      <c r="B78" s="227">
        <v>119463</v>
      </c>
      <c r="C78" s="227">
        <v>22489</v>
      </c>
      <c r="D78" s="227">
        <v>7819</v>
      </c>
    </row>
    <row r="79" spans="1:4" x14ac:dyDescent="0.25">
      <c r="A79" s="278">
        <v>44187</v>
      </c>
      <c r="B79" s="227">
        <v>117777</v>
      </c>
      <c r="C79" s="227">
        <v>22213</v>
      </c>
      <c r="D79" s="227">
        <v>7830</v>
      </c>
    </row>
    <row r="80" spans="1:4" x14ac:dyDescent="0.25">
      <c r="A80" s="278">
        <v>44186</v>
      </c>
      <c r="B80" s="227">
        <v>115358</v>
      </c>
      <c r="C80" s="227">
        <v>21884</v>
      </c>
      <c r="D80" s="227">
        <v>7783</v>
      </c>
    </row>
    <row r="81" spans="1:4" x14ac:dyDescent="0.25">
      <c r="A81" s="278">
        <v>44185</v>
      </c>
      <c r="B81" s="227">
        <v>113601</v>
      </c>
      <c r="C81" s="227">
        <v>21763</v>
      </c>
      <c r="D81" s="227">
        <v>7695</v>
      </c>
    </row>
    <row r="82" spans="1:4" x14ac:dyDescent="0.25">
      <c r="A82" s="278">
        <v>44184</v>
      </c>
      <c r="B82" s="227">
        <v>113914</v>
      </c>
      <c r="C82" s="227">
        <v>21692</v>
      </c>
      <c r="D82" s="227">
        <v>7786</v>
      </c>
    </row>
    <row r="83" spans="1:4" x14ac:dyDescent="0.25">
      <c r="A83" s="278">
        <v>44183</v>
      </c>
      <c r="B83" s="227">
        <v>113955</v>
      </c>
      <c r="C83" s="227">
        <v>21745</v>
      </c>
      <c r="D83" s="227">
        <v>7786</v>
      </c>
    </row>
    <row r="84" spans="1:4" x14ac:dyDescent="0.25">
      <c r="A84" s="278">
        <v>44182</v>
      </c>
      <c r="B84" s="227">
        <v>114492</v>
      </c>
      <c r="C84" s="227">
        <v>21912</v>
      </c>
      <c r="D84" s="227">
        <v>7848</v>
      </c>
    </row>
    <row r="85" spans="1:4" x14ac:dyDescent="0.25">
      <c r="A85" s="278">
        <v>44181</v>
      </c>
      <c r="B85" s="227">
        <v>113257</v>
      </c>
      <c r="C85" s="227">
        <v>21943</v>
      </c>
      <c r="D85" s="227">
        <v>7782</v>
      </c>
    </row>
    <row r="86" spans="1:4" x14ac:dyDescent="0.25">
      <c r="A86" s="278">
        <v>44180</v>
      </c>
      <c r="B86" s="227">
        <v>112816</v>
      </c>
      <c r="C86" s="227">
        <v>21897</v>
      </c>
      <c r="D86" s="227">
        <v>7702</v>
      </c>
    </row>
    <row r="87" spans="1:4" x14ac:dyDescent="0.25">
      <c r="A87" s="278">
        <v>44179</v>
      </c>
      <c r="B87" s="227">
        <v>110573</v>
      </c>
      <c r="C87" s="227">
        <v>21458</v>
      </c>
      <c r="D87" s="227">
        <v>7699</v>
      </c>
    </row>
    <row r="88" spans="1:4" x14ac:dyDescent="0.25">
      <c r="A88" s="278">
        <v>44178</v>
      </c>
      <c r="B88" s="227">
        <v>109298</v>
      </c>
      <c r="C88" s="227">
        <v>21230</v>
      </c>
      <c r="D88" s="227">
        <v>7535</v>
      </c>
    </row>
    <row r="89" spans="1:4" x14ac:dyDescent="0.25">
      <c r="A89" s="278">
        <v>44177</v>
      </c>
      <c r="B89" s="227">
        <v>108461</v>
      </c>
      <c r="C89" s="227">
        <v>21198</v>
      </c>
      <c r="D89" s="227">
        <v>7515</v>
      </c>
    </row>
    <row r="90" spans="1:4" x14ac:dyDescent="0.25">
      <c r="A90" s="278">
        <v>44176</v>
      </c>
      <c r="B90" s="227">
        <v>108101</v>
      </c>
      <c r="C90" s="227">
        <v>21012</v>
      </c>
      <c r="D90" s="227">
        <v>7488</v>
      </c>
    </row>
    <row r="91" spans="1:4" x14ac:dyDescent="0.25">
      <c r="A91" s="278">
        <v>44175</v>
      </c>
      <c r="B91" s="227">
        <v>107300</v>
      </c>
      <c r="C91" s="227">
        <v>21024</v>
      </c>
      <c r="D91" s="227">
        <v>7444</v>
      </c>
    </row>
    <row r="92" spans="1:4" x14ac:dyDescent="0.25">
      <c r="A92" s="278">
        <v>44174</v>
      </c>
      <c r="B92" s="227">
        <v>106671</v>
      </c>
      <c r="C92" s="227">
        <v>20903</v>
      </c>
      <c r="D92" s="227">
        <v>7621</v>
      </c>
    </row>
    <row r="93" spans="1:4" x14ac:dyDescent="0.25">
      <c r="A93" s="278">
        <v>44173</v>
      </c>
      <c r="B93" s="227">
        <v>104637</v>
      </c>
      <c r="C93" s="227">
        <v>20475</v>
      </c>
      <c r="D93" s="227">
        <v>7251</v>
      </c>
    </row>
    <row r="94" spans="1:4" x14ac:dyDescent="0.25">
      <c r="A94" s="278">
        <v>44172</v>
      </c>
      <c r="B94" s="227">
        <v>102122</v>
      </c>
      <c r="C94" s="227">
        <v>20097</v>
      </c>
      <c r="D94" s="227">
        <v>7067</v>
      </c>
    </row>
    <row r="95" spans="1:4" x14ac:dyDescent="0.25">
      <c r="A95" s="278">
        <v>44171</v>
      </c>
      <c r="B95" s="227">
        <v>101501</v>
      </c>
      <c r="C95" s="227">
        <v>20145</v>
      </c>
      <c r="D95" s="227">
        <v>7095</v>
      </c>
    </row>
    <row r="96" spans="1:4" x14ac:dyDescent="0.25">
      <c r="A96" s="278">
        <v>44170</v>
      </c>
      <c r="B96" s="227">
        <v>101192</v>
      </c>
      <c r="C96" s="227">
        <v>19947</v>
      </c>
      <c r="D96" s="227">
        <v>7006</v>
      </c>
    </row>
    <row r="97" spans="1:4" x14ac:dyDescent="0.25">
      <c r="A97" s="278">
        <v>44169</v>
      </c>
      <c r="B97" s="227">
        <v>101309</v>
      </c>
      <c r="C97" s="227">
        <v>19853</v>
      </c>
      <c r="D97" s="227">
        <v>7018</v>
      </c>
    </row>
    <row r="98" spans="1:4" x14ac:dyDescent="0.25">
      <c r="A98" s="278">
        <v>44168</v>
      </c>
      <c r="B98" s="227">
        <v>100746</v>
      </c>
      <c r="C98" s="227">
        <v>19714</v>
      </c>
      <c r="D98" s="227">
        <v>6875</v>
      </c>
    </row>
    <row r="99" spans="1:4" x14ac:dyDescent="0.25">
      <c r="A99" s="278">
        <v>44167</v>
      </c>
      <c r="B99" s="227">
        <v>100327</v>
      </c>
      <c r="C99" s="227">
        <v>19687</v>
      </c>
      <c r="D99" s="227">
        <v>6855</v>
      </c>
    </row>
    <row r="100" spans="1:4" x14ac:dyDescent="0.25">
      <c r="A100" s="278">
        <v>44166</v>
      </c>
      <c r="B100" s="227">
        <v>98814</v>
      </c>
      <c r="C100" s="227">
        <v>19302</v>
      </c>
      <c r="D100" s="227">
        <v>6651</v>
      </c>
    </row>
    <row r="101" spans="1:4" x14ac:dyDescent="0.25">
      <c r="A101" s="278">
        <v>44165</v>
      </c>
      <c r="B101" s="227">
        <v>96134</v>
      </c>
      <c r="C101" s="227">
        <v>18807</v>
      </c>
      <c r="D101" s="227">
        <v>6520</v>
      </c>
    </row>
    <row r="102" spans="1:4" x14ac:dyDescent="0.25">
      <c r="A102" s="278">
        <v>44164</v>
      </c>
      <c r="B102" s="227">
        <v>93357</v>
      </c>
      <c r="C102" s="227">
        <v>18437</v>
      </c>
      <c r="D102" s="227">
        <v>6245</v>
      </c>
    </row>
    <row r="103" spans="1:4" x14ac:dyDescent="0.25">
      <c r="A103" s="278">
        <v>44163</v>
      </c>
      <c r="B103" s="227">
        <v>91762</v>
      </c>
      <c r="C103" s="227">
        <v>18249</v>
      </c>
      <c r="D103" s="227">
        <v>6148</v>
      </c>
    </row>
    <row r="104" spans="1:4" x14ac:dyDescent="0.25">
      <c r="A104" s="278">
        <v>44162</v>
      </c>
      <c r="B104" s="227">
        <v>89913</v>
      </c>
      <c r="C104" s="227">
        <v>18056</v>
      </c>
      <c r="D104" s="227">
        <v>6028</v>
      </c>
    </row>
    <row r="105" spans="1:4" x14ac:dyDescent="0.25">
      <c r="A105" s="278">
        <v>44161</v>
      </c>
      <c r="B105" s="227">
        <v>90564</v>
      </c>
      <c r="C105" s="227">
        <v>18019</v>
      </c>
      <c r="D105" s="227">
        <v>5986</v>
      </c>
    </row>
    <row r="106" spans="1:4" x14ac:dyDescent="0.25">
      <c r="A106" s="278">
        <v>44160</v>
      </c>
      <c r="B106" s="227">
        <v>90043</v>
      </c>
      <c r="C106" s="227">
        <v>17738</v>
      </c>
      <c r="D106" s="227">
        <v>5987</v>
      </c>
    </row>
    <row r="107" spans="1:4" x14ac:dyDescent="0.25">
      <c r="A107" s="278">
        <v>44159</v>
      </c>
      <c r="B107" s="227">
        <v>88132</v>
      </c>
      <c r="C107" s="227">
        <v>17317</v>
      </c>
      <c r="D107" s="227">
        <v>5626</v>
      </c>
    </row>
    <row r="108" spans="1:4" x14ac:dyDescent="0.25">
      <c r="A108" s="278">
        <v>44158</v>
      </c>
      <c r="B108" s="227">
        <v>85945</v>
      </c>
      <c r="C108" s="227">
        <v>17060</v>
      </c>
      <c r="D108" s="227">
        <v>5455</v>
      </c>
    </row>
    <row r="109" spans="1:4" x14ac:dyDescent="0.25">
      <c r="A109" s="278">
        <v>44157</v>
      </c>
      <c r="B109" s="227">
        <v>83882</v>
      </c>
      <c r="C109" s="227">
        <v>16411</v>
      </c>
      <c r="D109" s="227">
        <v>5233</v>
      </c>
    </row>
    <row r="110" spans="1:4" x14ac:dyDescent="0.25">
      <c r="A110" s="278">
        <v>44156</v>
      </c>
      <c r="B110" s="227">
        <v>83346</v>
      </c>
      <c r="C110" s="227">
        <v>16264</v>
      </c>
      <c r="D110" s="227">
        <v>5103</v>
      </c>
    </row>
    <row r="111" spans="1:4" x14ac:dyDescent="0.25">
      <c r="A111" s="278">
        <v>44155</v>
      </c>
      <c r="B111" s="227">
        <v>82318</v>
      </c>
      <c r="C111" s="227">
        <v>16146</v>
      </c>
      <c r="D111" s="227">
        <v>5058</v>
      </c>
    </row>
    <row r="112" spans="1:4" x14ac:dyDescent="0.25">
      <c r="A112" s="278">
        <v>44154</v>
      </c>
      <c r="B112" s="227">
        <v>80669</v>
      </c>
      <c r="C112" s="227">
        <v>15759</v>
      </c>
      <c r="D112" s="227">
        <v>4860</v>
      </c>
    </row>
    <row r="113" spans="1:4" x14ac:dyDescent="0.25">
      <c r="A113" s="278">
        <v>44153</v>
      </c>
      <c r="B113" s="227">
        <v>79478</v>
      </c>
      <c r="C113" s="227">
        <v>15557</v>
      </c>
      <c r="D113" s="227">
        <v>4699</v>
      </c>
    </row>
    <row r="114" spans="1:4" x14ac:dyDescent="0.25">
      <c r="A114" s="278">
        <v>44152</v>
      </c>
      <c r="B114" s="227">
        <v>77047</v>
      </c>
      <c r="C114" s="227">
        <v>15009</v>
      </c>
      <c r="D114" s="227">
        <v>4379</v>
      </c>
    </row>
    <row r="115" spans="1:4" x14ac:dyDescent="0.25">
      <c r="A115" s="278">
        <v>44151</v>
      </c>
      <c r="B115" s="227">
        <v>73320</v>
      </c>
      <c r="C115" s="227">
        <v>14471</v>
      </c>
      <c r="D115" s="227">
        <v>4156</v>
      </c>
    </row>
    <row r="116" spans="1:4" x14ac:dyDescent="0.25">
      <c r="A116" s="278">
        <v>44150</v>
      </c>
      <c r="B116" s="227">
        <v>70202</v>
      </c>
      <c r="C116" s="227">
        <v>13849</v>
      </c>
      <c r="D116" s="227">
        <v>3939</v>
      </c>
    </row>
    <row r="117" spans="1:4" x14ac:dyDescent="0.25">
      <c r="A117" s="278">
        <v>44149</v>
      </c>
      <c r="B117" s="227">
        <v>69588</v>
      </c>
      <c r="C117" s="227">
        <v>13491</v>
      </c>
      <c r="D117" s="227">
        <v>3945</v>
      </c>
    </row>
    <row r="118" spans="1:4" x14ac:dyDescent="0.25">
      <c r="A118" s="278">
        <v>44148</v>
      </c>
      <c r="B118" s="227">
        <v>68585</v>
      </c>
      <c r="C118" s="227">
        <v>13280</v>
      </c>
      <c r="D118" s="227">
        <v>3766</v>
      </c>
    </row>
    <row r="119" spans="1:4" x14ac:dyDescent="0.25">
      <c r="A119" s="278">
        <v>44147</v>
      </c>
      <c r="B119" s="227">
        <v>67236</v>
      </c>
      <c r="C119" s="227">
        <v>12917</v>
      </c>
      <c r="D119" s="227">
        <v>3622</v>
      </c>
    </row>
    <row r="120" spans="1:4" x14ac:dyDescent="0.25">
      <c r="A120" s="278">
        <v>44146</v>
      </c>
      <c r="B120" s="227">
        <v>65549</v>
      </c>
      <c r="C120" s="227">
        <v>12626</v>
      </c>
      <c r="D120" s="227">
        <v>3365</v>
      </c>
    </row>
    <row r="121" spans="1:4" x14ac:dyDescent="0.25">
      <c r="A121" s="278">
        <v>44145</v>
      </c>
      <c r="B121" s="227">
        <v>62119</v>
      </c>
      <c r="C121" s="227">
        <v>12057</v>
      </c>
      <c r="D121" s="227">
        <v>3202</v>
      </c>
    </row>
    <row r="122" spans="1:4" x14ac:dyDescent="0.25">
      <c r="A122" s="278">
        <v>44144</v>
      </c>
      <c r="B122" s="227">
        <v>59342</v>
      </c>
      <c r="C122" s="227">
        <v>11636</v>
      </c>
      <c r="D122" s="227">
        <v>3111</v>
      </c>
    </row>
    <row r="123" spans="1:4" x14ac:dyDescent="0.25">
      <c r="A123" s="278">
        <v>44143</v>
      </c>
      <c r="B123" s="227">
        <v>56942</v>
      </c>
      <c r="C123" s="227">
        <v>11223</v>
      </c>
      <c r="D123" s="227">
        <v>2977</v>
      </c>
    </row>
    <row r="124" spans="1:4" x14ac:dyDescent="0.25">
      <c r="A124" s="278">
        <v>44142</v>
      </c>
      <c r="B124" s="227">
        <v>56037</v>
      </c>
      <c r="C124" s="227">
        <v>11215</v>
      </c>
      <c r="D124" s="227">
        <v>2947</v>
      </c>
    </row>
    <row r="125" spans="1:4" x14ac:dyDescent="0.25">
      <c r="A125" s="278">
        <v>44141</v>
      </c>
      <c r="B125" s="227">
        <v>55005</v>
      </c>
      <c r="C125" s="227">
        <v>11213</v>
      </c>
      <c r="D125" s="227">
        <v>2850</v>
      </c>
    </row>
    <row r="126" spans="1:4" x14ac:dyDescent="0.25">
      <c r="A126" s="278">
        <v>44140</v>
      </c>
      <c r="B126" s="227">
        <v>53380</v>
      </c>
      <c r="C126" s="227">
        <v>11050</v>
      </c>
      <c r="D126" s="227">
        <v>2876</v>
      </c>
    </row>
    <row r="127" spans="1:4" x14ac:dyDescent="0.25">
      <c r="A127" s="278">
        <v>44139</v>
      </c>
      <c r="B127" s="227">
        <v>52166</v>
      </c>
      <c r="C127" s="227">
        <v>10892</v>
      </c>
      <c r="D127" s="227">
        <v>2832</v>
      </c>
    </row>
    <row r="128" spans="1:4" x14ac:dyDescent="0.25">
      <c r="A128" s="278">
        <v>44138</v>
      </c>
      <c r="B128" s="227">
        <v>50509</v>
      </c>
      <c r="C128" s="227">
        <v>10538</v>
      </c>
      <c r="D128" s="227">
        <v>2734</v>
      </c>
    </row>
    <row r="129" spans="1:4" x14ac:dyDescent="0.25">
      <c r="A129" s="278">
        <v>44137</v>
      </c>
      <c r="B129" s="227">
        <v>48750</v>
      </c>
      <c r="C129" s="227">
        <v>9957</v>
      </c>
      <c r="D129" s="227">
        <v>2633</v>
      </c>
    </row>
    <row r="130" spans="1:4" x14ac:dyDescent="0.25">
      <c r="A130" s="278">
        <v>44136</v>
      </c>
      <c r="B130" s="227">
        <v>47615</v>
      </c>
      <c r="C130" s="227">
        <v>9665</v>
      </c>
      <c r="D130" s="227">
        <v>2553</v>
      </c>
    </row>
    <row r="131" spans="1:4" x14ac:dyDescent="0.25">
      <c r="A131" s="278">
        <v>44135</v>
      </c>
      <c r="B131" s="227">
        <v>47486</v>
      </c>
      <c r="C131" s="227">
        <v>9613</v>
      </c>
      <c r="D131" s="227">
        <v>2502</v>
      </c>
    </row>
    <row r="132" spans="1:4" x14ac:dyDescent="0.25">
      <c r="A132" s="278">
        <v>44134</v>
      </c>
      <c r="B132" s="227">
        <v>46880</v>
      </c>
      <c r="C132" s="227">
        <v>9550</v>
      </c>
      <c r="D132" s="227">
        <v>2477</v>
      </c>
    </row>
    <row r="133" spans="1:4" x14ac:dyDescent="0.25">
      <c r="A133" s="278">
        <v>44133</v>
      </c>
      <c r="B133" s="227">
        <v>46191</v>
      </c>
      <c r="C133" s="227">
        <v>9320</v>
      </c>
      <c r="D133" s="227">
        <v>2399</v>
      </c>
    </row>
    <row r="134" spans="1:4" x14ac:dyDescent="0.25">
      <c r="A134" s="278">
        <v>44132</v>
      </c>
      <c r="B134" s="227">
        <v>45214</v>
      </c>
      <c r="C134" s="227">
        <v>9133</v>
      </c>
      <c r="D134" s="227">
        <v>2354</v>
      </c>
    </row>
    <row r="135" spans="1:4" x14ac:dyDescent="0.25">
      <c r="A135" s="278">
        <v>44131</v>
      </c>
      <c r="B135" s="227">
        <v>44391</v>
      </c>
      <c r="C135" s="227">
        <v>8985</v>
      </c>
      <c r="D135" s="227">
        <v>2283</v>
      </c>
    </row>
    <row r="136" spans="1:4" x14ac:dyDescent="0.25">
      <c r="A136" s="278">
        <v>44130</v>
      </c>
      <c r="B136" s="227">
        <v>42988</v>
      </c>
      <c r="C136" s="227">
        <v>8946</v>
      </c>
      <c r="D136" s="227">
        <v>2300</v>
      </c>
    </row>
    <row r="137" spans="1:4" x14ac:dyDescent="0.25">
      <c r="A137" s="278">
        <v>44129</v>
      </c>
      <c r="B137" s="227">
        <v>41883</v>
      </c>
      <c r="C137" s="227">
        <v>8590</v>
      </c>
      <c r="D137" s="227">
        <v>2176</v>
      </c>
    </row>
    <row r="138" spans="1:4" x14ac:dyDescent="0.25">
      <c r="A138" s="278">
        <v>44128</v>
      </c>
      <c r="B138" s="227">
        <v>42087</v>
      </c>
      <c r="C138" s="227">
        <v>8675</v>
      </c>
      <c r="D138" s="227">
        <v>2230</v>
      </c>
    </row>
    <row r="139" spans="1:4" x14ac:dyDescent="0.25">
      <c r="A139" s="278">
        <v>44127</v>
      </c>
      <c r="B139" s="227">
        <v>41614</v>
      </c>
      <c r="C139" s="227">
        <v>8342</v>
      </c>
      <c r="D139" s="227">
        <v>2180</v>
      </c>
    </row>
    <row r="140" spans="1:4" x14ac:dyDescent="0.25">
      <c r="A140" s="278">
        <v>44126</v>
      </c>
      <c r="B140" s="227">
        <v>41114</v>
      </c>
      <c r="C140" s="227">
        <v>8180</v>
      </c>
      <c r="D140" s="227">
        <v>2147</v>
      </c>
    </row>
    <row r="141" spans="1:4" x14ac:dyDescent="0.25">
      <c r="A141" s="278">
        <v>44125</v>
      </c>
      <c r="B141" s="227">
        <v>40397</v>
      </c>
      <c r="C141" s="227">
        <v>8291</v>
      </c>
      <c r="D141" s="227">
        <v>2083</v>
      </c>
    </row>
    <row r="142" spans="1:4" x14ac:dyDescent="0.25">
      <c r="A142" s="278">
        <v>44124</v>
      </c>
      <c r="B142" s="227">
        <v>39391</v>
      </c>
      <c r="C142" s="227">
        <v>8206</v>
      </c>
      <c r="D142" s="227">
        <v>2042</v>
      </c>
    </row>
    <row r="143" spans="1:4" x14ac:dyDescent="0.25">
      <c r="A143" s="278">
        <v>44123</v>
      </c>
      <c r="B143" s="227">
        <v>37976</v>
      </c>
      <c r="C143" s="227">
        <v>8063</v>
      </c>
      <c r="D143" s="227">
        <v>1804</v>
      </c>
    </row>
    <row r="144" spans="1:4" x14ac:dyDescent="0.25">
      <c r="A144" s="278">
        <v>44122</v>
      </c>
      <c r="B144" s="227">
        <v>36536</v>
      </c>
      <c r="C144" s="227">
        <v>7383</v>
      </c>
      <c r="D144" s="227">
        <v>1762</v>
      </c>
    </row>
    <row r="145" spans="1:4" x14ac:dyDescent="0.25">
      <c r="A145" s="278">
        <v>44121</v>
      </c>
      <c r="B145" s="227">
        <v>37474</v>
      </c>
      <c r="C145" s="227">
        <v>7466</v>
      </c>
      <c r="D145" s="227">
        <v>1791</v>
      </c>
    </row>
    <row r="146" spans="1:4" x14ac:dyDescent="0.25">
      <c r="A146" s="278">
        <v>44120</v>
      </c>
      <c r="B146" s="227">
        <v>37479</v>
      </c>
      <c r="C146" s="227">
        <v>7333</v>
      </c>
      <c r="D146" s="227">
        <v>1740</v>
      </c>
    </row>
    <row r="147" spans="1:4" x14ac:dyDescent="0.25">
      <c r="A147" s="278">
        <v>44119</v>
      </c>
      <c r="B147" s="227">
        <v>37423</v>
      </c>
      <c r="C147" s="227">
        <v>7303</v>
      </c>
      <c r="D147" s="227">
        <v>1773</v>
      </c>
    </row>
    <row r="148" spans="1:4" x14ac:dyDescent="0.25">
      <c r="A148" s="278">
        <v>44118</v>
      </c>
      <c r="B148" s="227">
        <v>37184</v>
      </c>
      <c r="C148" s="227">
        <v>7236</v>
      </c>
      <c r="D148" s="227">
        <v>1775</v>
      </c>
    </row>
    <row r="149" spans="1:4" x14ac:dyDescent="0.25">
      <c r="A149" s="278">
        <v>44117</v>
      </c>
      <c r="B149" s="227">
        <v>36171</v>
      </c>
      <c r="C149" s="227">
        <v>7104</v>
      </c>
      <c r="D149" s="227">
        <v>1757</v>
      </c>
    </row>
    <row r="150" spans="1:4" x14ac:dyDescent="0.25">
      <c r="A150" s="278">
        <v>44116</v>
      </c>
      <c r="B150" s="227">
        <v>35148</v>
      </c>
      <c r="C150" s="227">
        <v>6860</v>
      </c>
      <c r="D150" s="227">
        <v>1663</v>
      </c>
    </row>
    <row r="151" spans="1:4" x14ac:dyDescent="0.25">
      <c r="A151" s="278">
        <v>44115</v>
      </c>
      <c r="B151" s="227">
        <v>34609</v>
      </c>
      <c r="C151" s="227">
        <v>6749</v>
      </c>
      <c r="D151" s="227">
        <v>1646</v>
      </c>
    </row>
    <row r="152" spans="1:4" x14ac:dyDescent="0.25">
      <c r="A152" s="278">
        <v>44114</v>
      </c>
      <c r="B152" s="227">
        <v>34700</v>
      </c>
      <c r="C152" s="227">
        <v>6752</v>
      </c>
      <c r="D152" s="227">
        <v>1667</v>
      </c>
    </row>
    <row r="153" spans="1:4" x14ac:dyDescent="0.25">
      <c r="A153" s="278">
        <v>44113</v>
      </c>
      <c r="B153" s="227">
        <v>34974</v>
      </c>
      <c r="C153" s="227">
        <v>6775</v>
      </c>
      <c r="D153" s="227">
        <v>1651</v>
      </c>
    </row>
    <row r="154" spans="1:4" x14ac:dyDescent="0.25">
      <c r="A154" s="278">
        <v>44112</v>
      </c>
      <c r="B154" s="227">
        <v>34446</v>
      </c>
      <c r="C154" s="227">
        <v>6694</v>
      </c>
      <c r="D154" s="227">
        <v>1638</v>
      </c>
    </row>
    <row r="155" spans="1:4" x14ac:dyDescent="0.25">
      <c r="A155" s="278">
        <v>44111</v>
      </c>
      <c r="B155" s="227">
        <v>33565</v>
      </c>
      <c r="C155" s="227">
        <v>6591</v>
      </c>
      <c r="D155" s="227">
        <v>1650</v>
      </c>
    </row>
    <row r="156" spans="1:4" x14ac:dyDescent="0.25">
      <c r="A156" s="278">
        <v>44110</v>
      </c>
      <c r="B156" s="227">
        <v>32726</v>
      </c>
      <c r="C156" s="227">
        <v>6490</v>
      </c>
      <c r="D156" s="227">
        <v>1609</v>
      </c>
    </row>
    <row r="157" spans="1:4" x14ac:dyDescent="0.25">
      <c r="A157" s="278">
        <v>44109</v>
      </c>
      <c r="B157" s="227">
        <v>31426</v>
      </c>
      <c r="C157" s="227">
        <v>6292</v>
      </c>
      <c r="D157" s="227">
        <v>1514</v>
      </c>
    </row>
    <row r="158" spans="1:4" x14ac:dyDescent="0.25">
      <c r="A158" s="278">
        <v>44108</v>
      </c>
      <c r="B158" s="227">
        <v>30063</v>
      </c>
      <c r="C158" s="227">
        <v>6056</v>
      </c>
      <c r="D158" s="227">
        <v>1485</v>
      </c>
    </row>
    <row r="159" spans="1:4" x14ac:dyDescent="0.25">
      <c r="A159" s="278">
        <v>44107</v>
      </c>
      <c r="B159" s="227">
        <v>30209</v>
      </c>
      <c r="C159" s="227">
        <v>6073</v>
      </c>
      <c r="D159" s="227">
        <v>1501</v>
      </c>
    </row>
    <row r="160" spans="1:4" x14ac:dyDescent="0.25">
      <c r="A160" s="278">
        <v>44106</v>
      </c>
      <c r="B160" s="227">
        <v>30880</v>
      </c>
      <c r="C160" s="227">
        <v>6195</v>
      </c>
      <c r="D160" s="227">
        <v>1534</v>
      </c>
    </row>
    <row r="161" spans="1:4" x14ac:dyDescent="0.25">
      <c r="A161" s="278">
        <v>44105</v>
      </c>
      <c r="B161" s="227">
        <v>30942</v>
      </c>
      <c r="C161" s="227">
        <v>6262</v>
      </c>
      <c r="D161" s="227">
        <v>1543</v>
      </c>
    </row>
    <row r="162" spans="1:4" x14ac:dyDescent="0.25">
      <c r="A162" s="278">
        <v>44104</v>
      </c>
      <c r="B162" s="227">
        <v>31021</v>
      </c>
      <c r="C162" s="227">
        <v>6241</v>
      </c>
      <c r="D162" s="227">
        <v>1510</v>
      </c>
    </row>
    <row r="163" spans="1:4" x14ac:dyDescent="0.25">
      <c r="A163" s="278">
        <v>44103</v>
      </c>
      <c r="B163" s="227">
        <v>30601</v>
      </c>
      <c r="C163" s="227">
        <v>6172</v>
      </c>
      <c r="D163" s="227">
        <v>1497</v>
      </c>
    </row>
    <row r="164" spans="1:4" x14ac:dyDescent="0.25">
      <c r="A164" s="278">
        <v>44102</v>
      </c>
      <c r="B164" s="227">
        <v>29696</v>
      </c>
      <c r="C164" s="227">
        <v>6048</v>
      </c>
      <c r="D164" s="227">
        <v>1513</v>
      </c>
    </row>
    <row r="165" spans="1:4" x14ac:dyDescent="0.25">
      <c r="A165" s="278">
        <v>44101</v>
      </c>
      <c r="B165" s="227">
        <v>29579</v>
      </c>
      <c r="C165" s="227">
        <v>6170</v>
      </c>
      <c r="D165" s="227">
        <v>1511</v>
      </c>
    </row>
    <row r="166" spans="1:4" x14ac:dyDescent="0.25">
      <c r="A166" s="278">
        <v>44100</v>
      </c>
      <c r="B166" s="227">
        <v>29670</v>
      </c>
      <c r="C166" s="227">
        <v>6143</v>
      </c>
      <c r="D166" s="227">
        <v>1509</v>
      </c>
    </row>
    <row r="167" spans="1:4" x14ac:dyDescent="0.25">
      <c r="A167" s="278">
        <v>44099</v>
      </c>
      <c r="B167" s="227">
        <v>29888</v>
      </c>
      <c r="C167" s="227">
        <v>6220</v>
      </c>
      <c r="D167" s="227">
        <v>1508</v>
      </c>
    </row>
    <row r="168" spans="1:4" x14ac:dyDescent="0.25">
      <c r="A168" s="278">
        <v>44098</v>
      </c>
      <c r="B168" s="227">
        <v>30159</v>
      </c>
      <c r="C168" s="227">
        <v>6274</v>
      </c>
      <c r="D168" s="227">
        <v>1560</v>
      </c>
    </row>
    <row r="169" spans="1:4" x14ac:dyDescent="0.25">
      <c r="A169" s="278">
        <v>44097</v>
      </c>
      <c r="B169" s="227">
        <v>30015</v>
      </c>
      <c r="C169" s="227">
        <v>6200</v>
      </c>
      <c r="D169" s="227">
        <v>1545</v>
      </c>
    </row>
    <row r="170" spans="1:4" x14ac:dyDescent="0.25">
      <c r="A170" s="278">
        <v>44096</v>
      </c>
      <c r="B170" s="227">
        <v>29645</v>
      </c>
      <c r="C170" s="227">
        <v>6188</v>
      </c>
      <c r="D170" s="227">
        <v>1558</v>
      </c>
    </row>
    <row r="171" spans="1:4" x14ac:dyDescent="0.25">
      <c r="A171" s="278">
        <v>44095</v>
      </c>
      <c r="B171" s="227">
        <v>28849</v>
      </c>
      <c r="C171" s="227">
        <v>6138</v>
      </c>
      <c r="D171" s="227">
        <v>1570</v>
      </c>
    </row>
    <row r="172" spans="1:4" x14ac:dyDescent="0.25">
      <c r="A172" s="278">
        <v>44094</v>
      </c>
      <c r="B172" s="227">
        <v>28724</v>
      </c>
      <c r="C172" s="227">
        <v>6100</v>
      </c>
      <c r="D172" s="227">
        <v>1595</v>
      </c>
    </row>
    <row r="173" spans="1:4" x14ac:dyDescent="0.25">
      <c r="A173" s="278">
        <v>44093</v>
      </c>
      <c r="B173" s="227">
        <v>29185</v>
      </c>
      <c r="C173" s="227">
        <v>6163</v>
      </c>
      <c r="D173" s="227">
        <v>1577</v>
      </c>
    </row>
    <row r="174" spans="1:4" x14ac:dyDescent="0.25">
      <c r="A174" s="278">
        <v>44092</v>
      </c>
      <c r="B174" s="227">
        <v>29651</v>
      </c>
      <c r="C174" s="227">
        <v>6175</v>
      </c>
      <c r="D174" s="227">
        <v>1608</v>
      </c>
    </row>
    <row r="175" spans="1:4" x14ac:dyDescent="0.25">
      <c r="A175" s="278">
        <v>44091</v>
      </c>
      <c r="B175" s="227">
        <v>30035</v>
      </c>
      <c r="C175" s="227">
        <v>6285</v>
      </c>
      <c r="D175" s="227">
        <v>1662</v>
      </c>
    </row>
    <row r="176" spans="1:4" x14ac:dyDescent="0.25">
      <c r="A176" s="278">
        <v>44090</v>
      </c>
      <c r="B176" s="227">
        <v>30345</v>
      </c>
      <c r="C176" s="227">
        <v>6303</v>
      </c>
      <c r="D176" s="227">
        <v>1647</v>
      </c>
    </row>
    <row r="177" spans="1:4" x14ac:dyDescent="0.25">
      <c r="A177" s="278">
        <v>44089</v>
      </c>
      <c r="B177" s="227">
        <v>30427</v>
      </c>
      <c r="C177" s="227">
        <v>6308</v>
      </c>
      <c r="D177" s="227">
        <v>1574</v>
      </c>
    </row>
    <row r="178" spans="1:4" x14ac:dyDescent="0.25">
      <c r="A178" s="278">
        <v>44088</v>
      </c>
      <c r="B178" s="227">
        <v>30071</v>
      </c>
      <c r="C178" s="227">
        <v>6249</v>
      </c>
      <c r="D178" s="227">
        <v>1513</v>
      </c>
    </row>
    <row r="179" spans="1:4" x14ac:dyDescent="0.25">
      <c r="A179" s="278">
        <v>44087</v>
      </c>
      <c r="B179" s="227">
        <v>29921</v>
      </c>
      <c r="C179" s="227">
        <v>6233</v>
      </c>
      <c r="D179" s="227">
        <v>1562</v>
      </c>
    </row>
    <row r="180" spans="1:4" x14ac:dyDescent="0.25">
      <c r="A180" s="278">
        <v>44086</v>
      </c>
      <c r="B180" s="227">
        <v>30758</v>
      </c>
      <c r="C180" s="227">
        <v>6451</v>
      </c>
      <c r="D180" s="227">
        <v>1619</v>
      </c>
    </row>
    <row r="181" spans="1:4" x14ac:dyDescent="0.25">
      <c r="A181" s="278">
        <v>44085</v>
      </c>
      <c r="B181" s="227">
        <v>31530</v>
      </c>
      <c r="C181" s="227">
        <v>6376</v>
      </c>
      <c r="D181" s="227">
        <v>1716</v>
      </c>
    </row>
    <row r="182" spans="1:4" x14ac:dyDescent="0.25">
      <c r="A182" s="278">
        <v>44084</v>
      </c>
      <c r="B182" s="227">
        <v>32521</v>
      </c>
      <c r="C182" s="227">
        <v>6522</v>
      </c>
      <c r="D182" s="227">
        <v>1923</v>
      </c>
    </row>
    <row r="183" spans="1:4" x14ac:dyDescent="0.25">
      <c r="A183" s="278">
        <v>44083</v>
      </c>
      <c r="B183" s="227">
        <v>32653</v>
      </c>
      <c r="C183" s="227">
        <v>6659</v>
      </c>
      <c r="D183" s="227">
        <v>1906</v>
      </c>
    </row>
    <row r="184" spans="1:4" x14ac:dyDescent="0.25">
      <c r="A184" s="278">
        <v>44082</v>
      </c>
      <c r="B184" s="227">
        <v>32339</v>
      </c>
      <c r="C184" s="227">
        <v>6543</v>
      </c>
      <c r="D184" s="227">
        <v>1881</v>
      </c>
    </row>
    <row r="185" spans="1:4" x14ac:dyDescent="0.25">
      <c r="A185" s="278">
        <v>44081</v>
      </c>
      <c r="B185" s="227">
        <v>32116</v>
      </c>
      <c r="C185" s="227">
        <v>6630</v>
      </c>
      <c r="D185" s="227">
        <v>1879</v>
      </c>
    </row>
    <row r="186" spans="1:4" x14ac:dyDescent="0.25">
      <c r="A186" s="278">
        <v>44080</v>
      </c>
      <c r="B186" s="227">
        <v>32497</v>
      </c>
      <c r="C186" s="227">
        <v>6700</v>
      </c>
      <c r="D186" s="227">
        <v>1912</v>
      </c>
    </row>
    <row r="187" spans="1:4" x14ac:dyDescent="0.25">
      <c r="A187" s="278">
        <v>44079</v>
      </c>
      <c r="B187" s="227">
        <v>33626</v>
      </c>
      <c r="C187" s="227">
        <v>6766</v>
      </c>
      <c r="D187" s="227">
        <v>1956</v>
      </c>
    </row>
    <row r="188" spans="1:4" x14ac:dyDescent="0.25">
      <c r="A188" s="278">
        <v>44078</v>
      </c>
      <c r="B188" s="227">
        <v>34177</v>
      </c>
      <c r="C188" s="227">
        <v>6922</v>
      </c>
      <c r="D188" s="227">
        <v>1998</v>
      </c>
    </row>
    <row r="189" spans="1:4" x14ac:dyDescent="0.25">
      <c r="A189" s="278">
        <v>44077</v>
      </c>
      <c r="B189" s="227">
        <v>34753</v>
      </c>
      <c r="C189" s="227">
        <v>6923</v>
      </c>
      <c r="D189" s="227">
        <v>2038</v>
      </c>
    </row>
    <row r="190" spans="1:4" x14ac:dyDescent="0.25">
      <c r="A190" s="278">
        <v>44076</v>
      </c>
      <c r="B190" s="227">
        <v>35660</v>
      </c>
      <c r="C190" s="227">
        <v>7091</v>
      </c>
      <c r="D190" s="227">
        <v>2027</v>
      </c>
    </row>
    <row r="191" spans="1:4" x14ac:dyDescent="0.25">
      <c r="A191" s="278">
        <v>44075</v>
      </c>
      <c r="B191" s="227">
        <v>35338</v>
      </c>
      <c r="C191" s="227">
        <v>7084</v>
      </c>
      <c r="D191" s="227">
        <v>2041</v>
      </c>
    </row>
    <row r="192" spans="1:4" x14ac:dyDescent="0.25">
      <c r="A192" s="278">
        <v>44074</v>
      </c>
      <c r="B192" s="227">
        <v>35453</v>
      </c>
      <c r="C192" s="227">
        <v>7047</v>
      </c>
      <c r="D192" s="227">
        <v>2075</v>
      </c>
    </row>
    <row r="193" spans="1:4" x14ac:dyDescent="0.25">
      <c r="A193" s="278">
        <v>44073</v>
      </c>
      <c r="B193" s="227">
        <v>35801</v>
      </c>
      <c r="C193" s="227">
        <v>7268</v>
      </c>
      <c r="D193" s="227">
        <v>2055</v>
      </c>
    </row>
    <row r="194" spans="1:4" x14ac:dyDescent="0.25">
      <c r="A194" s="278">
        <v>44072</v>
      </c>
      <c r="B194" s="227">
        <v>36516</v>
      </c>
      <c r="C194" s="227">
        <v>7413</v>
      </c>
      <c r="D194" s="227">
        <v>2062</v>
      </c>
    </row>
    <row r="195" spans="1:4" x14ac:dyDescent="0.25">
      <c r="A195" s="278">
        <v>44071</v>
      </c>
      <c r="B195" s="227">
        <v>37356</v>
      </c>
      <c r="C195" s="227">
        <v>7564</v>
      </c>
      <c r="D195" s="227">
        <v>2087</v>
      </c>
    </row>
    <row r="196" spans="1:4" x14ac:dyDescent="0.25">
      <c r="A196" s="278">
        <v>44070</v>
      </c>
      <c r="B196" s="227">
        <v>37498</v>
      </c>
      <c r="C196" s="227">
        <v>7712</v>
      </c>
      <c r="D196" s="227">
        <v>2128</v>
      </c>
    </row>
    <row r="197" spans="1:4" x14ac:dyDescent="0.25">
      <c r="A197" s="278">
        <v>44069</v>
      </c>
      <c r="B197" s="227">
        <v>38515</v>
      </c>
      <c r="C197" s="227">
        <v>7742</v>
      </c>
      <c r="D197" s="227">
        <v>2143</v>
      </c>
    </row>
    <row r="198" spans="1:4" x14ac:dyDescent="0.25">
      <c r="A198" s="278">
        <v>44068</v>
      </c>
      <c r="B198" s="227">
        <v>38831</v>
      </c>
      <c r="C198" s="227">
        <v>7854</v>
      </c>
      <c r="D198" s="227">
        <v>2161</v>
      </c>
    </row>
    <row r="199" spans="1:4" x14ac:dyDescent="0.25">
      <c r="A199" s="278">
        <v>44067</v>
      </c>
      <c r="B199" s="227">
        <v>38806</v>
      </c>
      <c r="C199" s="227">
        <v>7854</v>
      </c>
      <c r="D199" s="227">
        <v>2112</v>
      </c>
    </row>
    <row r="200" spans="1:4" x14ac:dyDescent="0.25">
      <c r="A200" s="278">
        <v>44066</v>
      </c>
      <c r="B200" s="227">
        <v>39064</v>
      </c>
      <c r="C200" s="227">
        <v>7949</v>
      </c>
      <c r="D200" s="227">
        <v>2131</v>
      </c>
    </row>
    <row r="201" spans="1:4" x14ac:dyDescent="0.25">
      <c r="A201" s="278">
        <v>44065</v>
      </c>
      <c r="B201" s="227">
        <v>40017</v>
      </c>
      <c r="C201" s="227">
        <v>8207</v>
      </c>
      <c r="D201" s="227">
        <v>2204</v>
      </c>
    </row>
    <row r="202" spans="1:4" x14ac:dyDescent="0.25">
      <c r="A202" s="278">
        <v>44064</v>
      </c>
      <c r="B202" s="227">
        <v>41049</v>
      </c>
      <c r="C202" s="227">
        <v>8358</v>
      </c>
      <c r="D202" s="227">
        <v>2288</v>
      </c>
    </row>
    <row r="203" spans="1:4" x14ac:dyDescent="0.25">
      <c r="A203" s="278">
        <v>44063</v>
      </c>
      <c r="B203" s="227">
        <v>42109</v>
      </c>
      <c r="C203" s="227">
        <v>8486</v>
      </c>
      <c r="D203" s="227">
        <v>2330</v>
      </c>
    </row>
    <row r="204" spans="1:4" x14ac:dyDescent="0.25">
      <c r="A204" s="278">
        <v>44062</v>
      </c>
      <c r="B204" s="227">
        <v>43406</v>
      </c>
      <c r="C204" s="227">
        <v>8747</v>
      </c>
      <c r="D204" s="227">
        <v>2375</v>
      </c>
    </row>
    <row r="205" spans="1:4" x14ac:dyDescent="0.25">
      <c r="A205" s="278">
        <v>44061</v>
      </c>
      <c r="B205" s="227">
        <v>43840</v>
      </c>
      <c r="C205" s="227">
        <v>8859</v>
      </c>
      <c r="D205" s="227">
        <v>2467</v>
      </c>
    </row>
    <row r="206" spans="1:4" x14ac:dyDescent="0.25">
      <c r="A206" s="278">
        <v>44060</v>
      </c>
      <c r="B206" s="227">
        <v>43614</v>
      </c>
      <c r="C206" s="227">
        <v>8881</v>
      </c>
      <c r="D206" s="227">
        <v>2444</v>
      </c>
    </row>
    <row r="207" spans="1:4" x14ac:dyDescent="0.25">
      <c r="A207" s="278">
        <v>44059</v>
      </c>
      <c r="B207" s="227">
        <v>44155</v>
      </c>
      <c r="C207" s="227">
        <v>8958</v>
      </c>
      <c r="D207" s="227">
        <v>2481</v>
      </c>
    </row>
    <row r="208" spans="1:4" x14ac:dyDescent="0.25">
      <c r="A208" s="278">
        <v>44058</v>
      </c>
      <c r="B208" s="227">
        <v>44922</v>
      </c>
      <c r="C208" s="227">
        <v>9087</v>
      </c>
      <c r="D208" s="227">
        <v>2526</v>
      </c>
    </row>
    <row r="209" spans="1:4" x14ac:dyDescent="0.25">
      <c r="A209" s="278">
        <v>44057</v>
      </c>
      <c r="B209" s="227">
        <v>45868</v>
      </c>
      <c r="C209" s="227">
        <v>9277</v>
      </c>
      <c r="D209" s="227">
        <v>2555</v>
      </c>
    </row>
    <row r="210" spans="1:4" x14ac:dyDescent="0.25">
      <c r="A210" s="278">
        <v>44056</v>
      </c>
      <c r="B210" s="227">
        <v>47303</v>
      </c>
      <c r="C210" s="227">
        <v>9480</v>
      </c>
      <c r="D210" s="227">
        <v>2574</v>
      </c>
    </row>
    <row r="211" spans="1:4" x14ac:dyDescent="0.25">
      <c r="A211" s="278">
        <v>44055</v>
      </c>
      <c r="B211" s="227">
        <v>48067</v>
      </c>
      <c r="C211" s="227">
        <v>9564</v>
      </c>
      <c r="D211" s="227">
        <v>2602</v>
      </c>
    </row>
    <row r="212" spans="1:4" x14ac:dyDescent="0.25">
      <c r="A212" s="278">
        <v>44054</v>
      </c>
      <c r="B212" s="227">
        <v>48600</v>
      </c>
      <c r="C212" s="227">
        <v>9135</v>
      </c>
      <c r="D212" s="227">
        <v>2422</v>
      </c>
    </row>
    <row r="213" spans="1:4" x14ac:dyDescent="0.25">
      <c r="A213" s="278">
        <v>44053</v>
      </c>
      <c r="B213" s="227">
        <v>48751</v>
      </c>
      <c r="C213" s="227">
        <v>9209</v>
      </c>
      <c r="D213" s="227">
        <v>2529</v>
      </c>
    </row>
    <row r="214" spans="1:4" x14ac:dyDescent="0.25">
      <c r="A214" s="278">
        <v>44052</v>
      </c>
      <c r="B214" s="227">
        <v>48997</v>
      </c>
      <c r="C214" s="227">
        <v>9307</v>
      </c>
      <c r="D214" s="227">
        <v>2507</v>
      </c>
    </row>
    <row r="215" spans="1:4" x14ac:dyDescent="0.25">
      <c r="A215" s="278">
        <v>44051</v>
      </c>
      <c r="B215" s="227">
        <v>50071</v>
      </c>
      <c r="C215" s="227">
        <v>9662</v>
      </c>
      <c r="D215" s="227">
        <v>2566</v>
      </c>
    </row>
    <row r="216" spans="1:4" x14ac:dyDescent="0.25">
      <c r="A216" s="278">
        <v>44050</v>
      </c>
      <c r="B216" s="227">
        <v>51327</v>
      </c>
      <c r="C216" s="227">
        <v>9698</v>
      </c>
      <c r="D216" s="227">
        <v>2628</v>
      </c>
    </row>
    <row r="217" spans="1:4" x14ac:dyDescent="0.25">
      <c r="A217" s="278">
        <v>44049</v>
      </c>
      <c r="B217" s="227">
        <v>53219</v>
      </c>
      <c r="C217" s="227">
        <v>9996</v>
      </c>
      <c r="D217" s="227">
        <v>2714</v>
      </c>
    </row>
    <row r="218" spans="1:4" x14ac:dyDescent="0.25">
      <c r="A218" s="278">
        <v>44048</v>
      </c>
      <c r="B218" s="227">
        <v>53435</v>
      </c>
      <c r="C218" s="227">
        <v>9988</v>
      </c>
      <c r="D218" s="227">
        <v>2721</v>
      </c>
    </row>
    <row r="219" spans="1:4" x14ac:dyDescent="0.25">
      <c r="A219" s="278">
        <v>44047</v>
      </c>
      <c r="B219" s="227">
        <v>53436</v>
      </c>
      <c r="C219" s="227">
        <v>10207</v>
      </c>
      <c r="D219" s="227">
        <v>2701</v>
      </c>
    </row>
    <row r="220" spans="1:4" x14ac:dyDescent="0.25">
      <c r="A220" s="278">
        <v>44046</v>
      </c>
      <c r="B220" s="227">
        <v>53517</v>
      </c>
      <c r="C220" s="227">
        <v>10233</v>
      </c>
      <c r="D220" s="227">
        <v>2664</v>
      </c>
    </row>
    <row r="221" spans="1:4" x14ac:dyDescent="0.25">
      <c r="A221" s="278">
        <v>44045</v>
      </c>
      <c r="B221" s="227">
        <v>54106</v>
      </c>
      <c r="C221" s="227">
        <v>10415</v>
      </c>
      <c r="D221" s="227">
        <v>2645</v>
      </c>
    </row>
    <row r="222" spans="1:4" x14ac:dyDescent="0.25">
      <c r="A222" s="278">
        <v>44044</v>
      </c>
      <c r="B222" s="227">
        <v>54554</v>
      </c>
      <c r="C222" s="227">
        <v>10450</v>
      </c>
      <c r="D222" s="227">
        <v>2698</v>
      </c>
    </row>
    <row r="223" spans="1:4" x14ac:dyDescent="0.25">
      <c r="A223" s="278">
        <v>44043</v>
      </c>
      <c r="B223" s="227">
        <v>55721</v>
      </c>
      <c r="C223" s="227">
        <v>10473</v>
      </c>
      <c r="D223" s="227">
        <v>2701</v>
      </c>
    </row>
    <row r="224" spans="1:4" x14ac:dyDescent="0.25">
      <c r="A224" s="278">
        <v>44042</v>
      </c>
      <c r="B224" s="227">
        <v>56571</v>
      </c>
      <c r="C224" s="227">
        <v>10519</v>
      </c>
      <c r="D224" s="227">
        <v>2762</v>
      </c>
    </row>
    <row r="225" spans="1:4" x14ac:dyDescent="0.25">
      <c r="A225" s="278">
        <v>44041</v>
      </c>
      <c r="B225" s="227">
        <v>57422</v>
      </c>
      <c r="C225" s="227">
        <v>10535</v>
      </c>
      <c r="D225" s="227">
        <v>2771</v>
      </c>
    </row>
    <row r="226" spans="1:4" x14ac:dyDescent="0.25">
      <c r="A226" s="278">
        <v>44040</v>
      </c>
      <c r="B226" s="227">
        <v>57185</v>
      </c>
      <c r="C226" s="227">
        <v>10463</v>
      </c>
      <c r="D226" s="227">
        <v>2748</v>
      </c>
    </row>
    <row r="227" spans="1:4" x14ac:dyDescent="0.25">
      <c r="A227" s="278">
        <v>44039</v>
      </c>
      <c r="B227" s="227">
        <v>58987</v>
      </c>
      <c r="C227" s="227">
        <v>10328</v>
      </c>
      <c r="D227" s="227">
        <v>2723</v>
      </c>
    </row>
    <row r="228" spans="1:4" x14ac:dyDescent="0.25">
      <c r="A228" s="278">
        <v>44038</v>
      </c>
      <c r="B228" s="227">
        <v>58731</v>
      </c>
      <c r="C228" s="227">
        <v>10353</v>
      </c>
      <c r="D228" s="227">
        <v>2723</v>
      </c>
    </row>
    <row r="229" spans="1:4" x14ac:dyDescent="0.25">
      <c r="A229" s="278">
        <v>44037</v>
      </c>
      <c r="B229" s="227">
        <v>59382</v>
      </c>
      <c r="C229" s="227">
        <v>10380</v>
      </c>
      <c r="D229" s="227">
        <v>2729</v>
      </c>
    </row>
    <row r="230" spans="1:4" x14ac:dyDescent="0.25">
      <c r="A230" s="278">
        <v>44036</v>
      </c>
      <c r="B230" s="227">
        <v>59800</v>
      </c>
      <c r="C230" s="227">
        <v>10389</v>
      </c>
      <c r="D230" s="227">
        <v>2709</v>
      </c>
    </row>
    <row r="231" spans="1:4" x14ac:dyDescent="0.25">
      <c r="A231" s="278">
        <v>44035</v>
      </c>
      <c r="B231" s="227">
        <v>59860</v>
      </c>
      <c r="C231" s="227">
        <v>10423</v>
      </c>
      <c r="D231" s="227">
        <v>2467</v>
      </c>
    </row>
    <row r="232" spans="1:4" x14ac:dyDescent="0.25">
      <c r="A232" s="278">
        <v>44034</v>
      </c>
      <c r="B232" s="227">
        <v>59758</v>
      </c>
      <c r="C232" s="227">
        <v>10460</v>
      </c>
      <c r="D232" s="227">
        <v>2444</v>
      </c>
    </row>
    <row r="233" spans="1:4" x14ac:dyDescent="0.25">
      <c r="A233" s="278">
        <v>44033</v>
      </c>
      <c r="B233" s="227">
        <v>59476</v>
      </c>
      <c r="C233" s="227">
        <v>6717</v>
      </c>
      <c r="D233" s="227">
        <v>2414</v>
      </c>
    </row>
    <row r="234" spans="1:4" x14ac:dyDescent="0.25">
      <c r="A234" s="278">
        <v>44032</v>
      </c>
      <c r="B234" s="227">
        <v>58518</v>
      </c>
      <c r="C234" s="227">
        <v>6551</v>
      </c>
      <c r="D234" s="227">
        <v>2403</v>
      </c>
    </row>
    <row r="235" spans="1:4" x14ac:dyDescent="0.25">
      <c r="A235" s="278">
        <v>44031</v>
      </c>
      <c r="B235" s="227">
        <v>58052</v>
      </c>
      <c r="C235" s="227">
        <v>6384</v>
      </c>
      <c r="D235" s="227">
        <v>2362</v>
      </c>
    </row>
    <row r="236" spans="1:4" x14ac:dyDescent="0.25">
      <c r="A236" s="278">
        <v>44030</v>
      </c>
      <c r="B236" s="227">
        <v>57822</v>
      </c>
      <c r="C236" s="227">
        <v>6397</v>
      </c>
      <c r="D236" s="227">
        <v>2343</v>
      </c>
    </row>
    <row r="237" spans="1:4" x14ac:dyDescent="0.25">
      <c r="A237" s="278">
        <v>44029</v>
      </c>
      <c r="B237" s="227">
        <v>57871</v>
      </c>
      <c r="C237" s="227">
        <v>6451</v>
      </c>
      <c r="D237" s="227">
        <v>2352</v>
      </c>
    </row>
    <row r="238" spans="1:4" x14ac:dyDescent="0.25">
      <c r="A238" s="278">
        <v>44028</v>
      </c>
      <c r="B238" s="227">
        <v>57602</v>
      </c>
      <c r="C238" s="227">
        <v>6349</v>
      </c>
      <c r="D238" s="227">
        <v>2314</v>
      </c>
    </row>
    <row r="239" spans="1:4" x14ac:dyDescent="0.25">
      <c r="A239" s="278">
        <v>44027</v>
      </c>
      <c r="B239" s="227">
        <v>56340</v>
      </c>
      <c r="C239" s="227">
        <v>6328</v>
      </c>
      <c r="D239" s="227">
        <v>2322</v>
      </c>
    </row>
    <row r="240" spans="1:4" x14ac:dyDescent="0.25">
      <c r="A240" s="278">
        <v>44026</v>
      </c>
      <c r="B240" s="227">
        <v>55678</v>
      </c>
      <c r="C240" s="227">
        <v>6238</v>
      </c>
      <c r="D240" s="227">
        <v>2263</v>
      </c>
    </row>
    <row r="241" spans="1:4" x14ac:dyDescent="0.25">
      <c r="A241" s="278">
        <v>44025</v>
      </c>
      <c r="B241" s="227">
        <v>54118</v>
      </c>
      <c r="C241" s="227">
        <v>6063</v>
      </c>
      <c r="D241" s="227">
        <v>2254</v>
      </c>
    </row>
    <row r="242" spans="1:4" x14ac:dyDescent="0.25">
      <c r="A242" s="278">
        <v>44024</v>
      </c>
      <c r="B242" s="227">
        <v>52860</v>
      </c>
      <c r="C242" s="227">
        <v>5930</v>
      </c>
      <c r="D242" s="227">
        <v>2182</v>
      </c>
    </row>
    <row r="243" spans="1:4" x14ac:dyDescent="0.25">
      <c r="A243" s="278">
        <v>44023</v>
      </c>
      <c r="B243" s="227">
        <v>51982</v>
      </c>
      <c r="C243" s="227">
        <v>5939</v>
      </c>
      <c r="D243" s="227">
        <v>2169</v>
      </c>
    </row>
    <row r="244" spans="1:4" x14ac:dyDescent="0.25">
      <c r="A244" s="278">
        <v>44022</v>
      </c>
      <c r="B244" s="227">
        <v>51724</v>
      </c>
      <c r="C244" s="227">
        <v>5899</v>
      </c>
      <c r="D244" s="227">
        <v>2192</v>
      </c>
    </row>
    <row r="245" spans="1:4" x14ac:dyDescent="0.25">
      <c r="A245" s="278">
        <v>44021</v>
      </c>
      <c r="B245" s="227">
        <v>44051</v>
      </c>
      <c r="C245" s="227">
        <v>5843</v>
      </c>
      <c r="D245" s="227">
        <v>2129</v>
      </c>
    </row>
    <row r="246" spans="1:4" x14ac:dyDescent="0.25">
      <c r="A246" s="278">
        <v>44020</v>
      </c>
      <c r="B246" s="227">
        <v>43207</v>
      </c>
      <c r="C246" s="227">
        <v>5872</v>
      </c>
      <c r="D246" s="227">
        <v>2167</v>
      </c>
    </row>
    <row r="247" spans="1:4" x14ac:dyDescent="0.25">
      <c r="A247" s="278">
        <v>44019</v>
      </c>
      <c r="B247" s="227">
        <v>41949</v>
      </c>
      <c r="C247" s="227">
        <v>5838</v>
      </c>
      <c r="D247" s="227">
        <v>2102</v>
      </c>
    </row>
    <row r="248" spans="1:4" x14ac:dyDescent="0.25">
      <c r="A248" s="278">
        <v>44018</v>
      </c>
      <c r="B248" s="227">
        <v>39960</v>
      </c>
      <c r="C248" s="227">
        <v>5678</v>
      </c>
      <c r="D248" s="227">
        <v>2104</v>
      </c>
    </row>
    <row r="249" spans="1:4" x14ac:dyDescent="0.25">
      <c r="A249" s="278">
        <v>44017</v>
      </c>
      <c r="B249" s="227">
        <v>38872</v>
      </c>
      <c r="C249" s="227">
        <v>5653</v>
      </c>
      <c r="D249" s="227">
        <v>2080</v>
      </c>
    </row>
    <row r="250" spans="1:4" x14ac:dyDescent="0.25">
      <c r="A250" s="278">
        <v>44016</v>
      </c>
      <c r="B250" s="227">
        <v>38281</v>
      </c>
      <c r="C250" s="227">
        <v>5633</v>
      </c>
      <c r="D250" s="227">
        <v>1982</v>
      </c>
    </row>
    <row r="251" spans="1:4" x14ac:dyDescent="0.25">
      <c r="A251" s="278">
        <v>44015</v>
      </c>
      <c r="B251" s="227">
        <v>37927</v>
      </c>
      <c r="C251" s="227">
        <v>5597</v>
      </c>
      <c r="D251" s="227">
        <v>2049</v>
      </c>
    </row>
    <row r="252" spans="1:4" x14ac:dyDescent="0.25">
      <c r="A252" s="278">
        <v>44014</v>
      </c>
      <c r="B252" s="227">
        <v>37646</v>
      </c>
      <c r="C252" s="227">
        <v>5636</v>
      </c>
      <c r="D252" s="227">
        <v>2104</v>
      </c>
    </row>
    <row r="253" spans="1:4" x14ac:dyDescent="0.25">
      <c r="A253" s="278">
        <v>44013</v>
      </c>
      <c r="B253" s="227">
        <v>36526</v>
      </c>
      <c r="C253" s="227">
        <v>5492</v>
      </c>
      <c r="D253" s="227">
        <v>2099</v>
      </c>
    </row>
    <row r="254" spans="1:4" x14ac:dyDescent="0.25">
      <c r="A254" s="278">
        <v>44012</v>
      </c>
      <c r="B254" s="227">
        <v>35337</v>
      </c>
      <c r="C254" s="227">
        <v>5426</v>
      </c>
      <c r="D254" s="227">
        <v>2044</v>
      </c>
    </row>
    <row r="255" spans="1:4" x14ac:dyDescent="0.25">
      <c r="A255" s="278">
        <v>44011</v>
      </c>
      <c r="B255" s="227">
        <v>33742</v>
      </c>
      <c r="C255" s="227">
        <v>5389</v>
      </c>
      <c r="D255" s="227">
        <v>2021</v>
      </c>
    </row>
    <row r="256" spans="1:4" x14ac:dyDescent="0.25">
      <c r="A256" s="278">
        <v>44010</v>
      </c>
      <c r="B256" s="227">
        <v>32575</v>
      </c>
      <c r="C256" s="227">
        <v>5252</v>
      </c>
      <c r="D256" s="227">
        <v>2077</v>
      </c>
    </row>
    <row r="257" spans="1:4" x14ac:dyDescent="0.25">
      <c r="A257" s="278">
        <v>44009</v>
      </c>
      <c r="B257" s="227">
        <v>32566</v>
      </c>
      <c r="C257" s="227">
        <v>5314</v>
      </c>
      <c r="D257" s="227">
        <v>2159</v>
      </c>
    </row>
    <row r="258" spans="1:4" x14ac:dyDescent="0.25">
      <c r="A258" s="278">
        <v>44008</v>
      </c>
      <c r="B258" s="227">
        <v>31850</v>
      </c>
      <c r="C258" s="227">
        <v>5290</v>
      </c>
      <c r="D258" s="227">
        <v>2069</v>
      </c>
    </row>
    <row r="259" spans="1:4" x14ac:dyDescent="0.25">
      <c r="A259" s="278">
        <v>44007</v>
      </c>
      <c r="B259" s="227">
        <v>31922</v>
      </c>
      <c r="C259" s="227">
        <v>5319</v>
      </c>
      <c r="D259" s="227">
        <v>2214</v>
      </c>
    </row>
    <row r="260" spans="1:4" x14ac:dyDescent="0.25">
      <c r="A260" s="278">
        <v>44006</v>
      </c>
      <c r="B260" s="227">
        <v>31270</v>
      </c>
      <c r="C260" s="227">
        <v>5292</v>
      </c>
      <c r="D260" s="227">
        <v>2247</v>
      </c>
    </row>
    <row r="261" spans="1:4" x14ac:dyDescent="0.25">
      <c r="A261" s="278">
        <v>44005</v>
      </c>
      <c r="B261" s="227">
        <v>30355</v>
      </c>
      <c r="C261" s="227">
        <v>5392</v>
      </c>
      <c r="D261" s="227">
        <v>2292</v>
      </c>
    </row>
    <row r="262" spans="1:4" x14ac:dyDescent="0.25">
      <c r="A262" s="278">
        <v>44004</v>
      </c>
      <c r="B262" s="227">
        <v>28963</v>
      </c>
      <c r="C262" s="227">
        <v>5325</v>
      </c>
      <c r="D262" s="227">
        <v>2301</v>
      </c>
    </row>
    <row r="263" spans="1:4" x14ac:dyDescent="0.25">
      <c r="A263" s="278">
        <v>44003</v>
      </c>
      <c r="B263" s="227">
        <v>28325</v>
      </c>
      <c r="C263" s="227">
        <v>5195</v>
      </c>
      <c r="D263" s="227">
        <v>2321</v>
      </c>
    </row>
    <row r="264" spans="1:4" x14ac:dyDescent="0.25">
      <c r="A264" s="278">
        <v>44002</v>
      </c>
      <c r="B264" s="227">
        <v>28084</v>
      </c>
      <c r="C264" s="227">
        <v>5229</v>
      </c>
      <c r="D264" s="227">
        <v>2380</v>
      </c>
    </row>
    <row r="265" spans="1:4" x14ac:dyDescent="0.25">
      <c r="A265" s="278">
        <v>44001</v>
      </c>
      <c r="B265" s="227">
        <v>28693</v>
      </c>
      <c r="C265" s="227">
        <v>5337</v>
      </c>
      <c r="D265" s="227">
        <v>2433</v>
      </c>
    </row>
    <row r="266" spans="1:4" x14ac:dyDescent="0.25">
      <c r="A266" s="278">
        <v>44000</v>
      </c>
      <c r="B266" s="227">
        <v>28538</v>
      </c>
      <c r="C266" s="227">
        <v>5472</v>
      </c>
      <c r="D266" s="227">
        <v>2518</v>
      </c>
    </row>
    <row r="267" spans="1:4" x14ac:dyDescent="0.25">
      <c r="A267" s="278">
        <v>43999</v>
      </c>
      <c r="B267" s="227">
        <v>28647</v>
      </c>
      <c r="C267" s="227">
        <v>5608</v>
      </c>
      <c r="D267" s="227">
        <v>2584</v>
      </c>
    </row>
    <row r="268" spans="1:4" x14ac:dyDescent="0.25">
      <c r="A268" s="278">
        <v>43998</v>
      </c>
      <c r="B268" s="227">
        <v>28370</v>
      </c>
      <c r="C268" s="227">
        <v>5570</v>
      </c>
      <c r="D268" s="227">
        <v>2591</v>
      </c>
    </row>
    <row r="269" spans="1:4" x14ac:dyDescent="0.25">
      <c r="A269" s="278">
        <v>43997</v>
      </c>
      <c r="B269" s="227">
        <v>28034</v>
      </c>
      <c r="C269" s="227">
        <v>5700</v>
      </c>
      <c r="D269" s="227">
        <v>2636</v>
      </c>
    </row>
    <row r="270" spans="1:4" x14ac:dyDescent="0.25">
      <c r="A270" s="278">
        <v>43996</v>
      </c>
      <c r="B270" s="227">
        <v>28020</v>
      </c>
      <c r="C270" s="227">
        <v>5749</v>
      </c>
      <c r="D270" s="227">
        <v>2716</v>
      </c>
    </row>
    <row r="271" spans="1:4" x14ac:dyDescent="0.25">
      <c r="A271" s="278">
        <v>43995</v>
      </c>
      <c r="B271" s="227">
        <v>28578</v>
      </c>
      <c r="C271" s="227">
        <v>5883</v>
      </c>
      <c r="D271" s="227">
        <v>2726</v>
      </c>
    </row>
    <row r="272" spans="1:4" x14ac:dyDescent="0.25">
      <c r="A272" s="278">
        <v>43994</v>
      </c>
      <c r="B272" s="227">
        <v>29306</v>
      </c>
      <c r="C272" s="227">
        <v>6009</v>
      </c>
      <c r="D272" s="227">
        <v>2738</v>
      </c>
    </row>
    <row r="273" spans="1:4" x14ac:dyDescent="0.25">
      <c r="A273" s="278">
        <v>43993</v>
      </c>
      <c r="B273" s="227">
        <v>29850</v>
      </c>
      <c r="C273" s="227">
        <v>6075</v>
      </c>
      <c r="D273" s="227">
        <v>2885</v>
      </c>
    </row>
    <row r="274" spans="1:4" x14ac:dyDescent="0.25">
      <c r="A274" s="278">
        <v>43992</v>
      </c>
      <c r="B274" s="227">
        <v>30961</v>
      </c>
      <c r="C274" s="227">
        <v>6256</v>
      </c>
      <c r="D274" s="227">
        <v>3022</v>
      </c>
    </row>
    <row r="275" spans="1:4" x14ac:dyDescent="0.25">
      <c r="A275" s="278">
        <v>43991</v>
      </c>
      <c r="B275" s="227">
        <v>31179</v>
      </c>
      <c r="C275" s="227">
        <v>6453</v>
      </c>
      <c r="D275" s="227">
        <v>3088</v>
      </c>
    </row>
    <row r="276" spans="1:4" x14ac:dyDescent="0.25">
      <c r="A276" s="278">
        <v>43990</v>
      </c>
      <c r="B276" s="227">
        <v>31105</v>
      </c>
      <c r="C276" s="227">
        <v>6398</v>
      </c>
      <c r="D276" s="227">
        <v>3238</v>
      </c>
    </row>
    <row r="277" spans="1:4" x14ac:dyDescent="0.25">
      <c r="A277" s="278">
        <v>43989</v>
      </c>
      <c r="B277" s="227">
        <v>31490</v>
      </c>
      <c r="C277" s="227">
        <v>6501</v>
      </c>
      <c r="D277" s="227">
        <v>3298</v>
      </c>
    </row>
    <row r="278" spans="1:4" x14ac:dyDescent="0.25">
      <c r="A278" s="278">
        <v>43988</v>
      </c>
      <c r="B278" s="227">
        <v>31994</v>
      </c>
      <c r="C278" s="227">
        <v>6762</v>
      </c>
      <c r="D278" s="227">
        <v>3476</v>
      </c>
    </row>
    <row r="279" spans="1:4" x14ac:dyDescent="0.25">
      <c r="A279" s="278">
        <v>43987</v>
      </c>
      <c r="B279" s="227">
        <v>32502</v>
      </c>
      <c r="C279" s="227">
        <v>6921</v>
      </c>
      <c r="D279" s="227">
        <v>3520</v>
      </c>
    </row>
    <row r="280" spans="1:4" x14ac:dyDescent="0.25">
      <c r="A280" s="278">
        <v>43986</v>
      </c>
      <c r="B280" s="227">
        <v>32802</v>
      </c>
      <c r="C280" s="227">
        <v>7044</v>
      </c>
      <c r="D280" s="227">
        <v>3662</v>
      </c>
    </row>
    <row r="281" spans="1:4" x14ac:dyDescent="0.25">
      <c r="A281" s="278">
        <v>43985</v>
      </c>
      <c r="B281" s="227">
        <v>33227</v>
      </c>
      <c r="C281" s="227">
        <v>7229</v>
      </c>
      <c r="D281" s="227">
        <v>3754</v>
      </c>
    </row>
    <row r="282" spans="1:4" x14ac:dyDescent="0.25">
      <c r="A282" s="278">
        <v>43984</v>
      </c>
      <c r="B282" s="227">
        <v>33956</v>
      </c>
      <c r="C282" s="227">
        <v>7410</v>
      </c>
      <c r="D282" s="227">
        <v>3854</v>
      </c>
    </row>
    <row r="283" spans="1:4" x14ac:dyDescent="0.25">
      <c r="A283" s="278">
        <v>43983</v>
      </c>
      <c r="B283" s="227">
        <v>34325</v>
      </c>
      <c r="C283" s="227">
        <v>7592</v>
      </c>
      <c r="D283" s="227">
        <v>3950</v>
      </c>
    </row>
    <row r="284" spans="1:4" x14ac:dyDescent="0.25">
      <c r="A284" s="278">
        <v>43982</v>
      </c>
      <c r="B284" s="227">
        <v>34925</v>
      </c>
      <c r="C284" s="227">
        <v>7625</v>
      </c>
      <c r="D284" s="227">
        <v>3669</v>
      </c>
    </row>
    <row r="285" spans="1:4" x14ac:dyDescent="0.25">
      <c r="A285" s="278">
        <v>43981</v>
      </c>
      <c r="B285" s="227">
        <v>35759</v>
      </c>
      <c r="C285" s="227">
        <v>7960</v>
      </c>
      <c r="D285" s="227">
        <v>4008</v>
      </c>
    </row>
    <row r="286" spans="1:4" x14ac:dyDescent="0.25">
      <c r="A286" s="278">
        <v>43980</v>
      </c>
      <c r="B286" s="227">
        <v>36942</v>
      </c>
      <c r="C286" s="227">
        <v>8170</v>
      </c>
      <c r="D286" s="227">
        <v>4028</v>
      </c>
    </row>
    <row r="287" spans="1:4" x14ac:dyDescent="0.25">
      <c r="A287" s="278">
        <v>43979</v>
      </c>
      <c r="B287" s="227">
        <v>38000</v>
      </c>
      <c r="C287" s="227">
        <v>8392</v>
      </c>
      <c r="D287" s="227">
        <v>4079</v>
      </c>
    </row>
    <row r="288" spans="1:4" x14ac:dyDescent="0.25">
      <c r="A288" s="278">
        <v>43978</v>
      </c>
      <c r="B288" s="227">
        <v>38300</v>
      </c>
      <c r="C288" s="227">
        <v>8552</v>
      </c>
      <c r="D288" s="227">
        <v>4223</v>
      </c>
    </row>
    <row r="289" spans="1:4" x14ac:dyDescent="0.25">
      <c r="A289" s="278">
        <v>43977</v>
      </c>
      <c r="B289" s="227">
        <v>37751</v>
      </c>
      <c r="C289" s="227">
        <v>8580</v>
      </c>
      <c r="D289" s="227">
        <v>4221</v>
      </c>
    </row>
    <row r="290" spans="1:4" x14ac:dyDescent="0.25">
      <c r="A290" s="278">
        <v>43976</v>
      </c>
      <c r="B290" s="227">
        <v>37703</v>
      </c>
      <c r="C290" s="227">
        <v>8467</v>
      </c>
      <c r="D290" s="227">
        <v>4232</v>
      </c>
    </row>
    <row r="291" spans="1:4" x14ac:dyDescent="0.25">
      <c r="A291" s="278">
        <v>43975</v>
      </c>
      <c r="B291" s="227">
        <v>37742</v>
      </c>
      <c r="C291" s="227">
        <v>8491</v>
      </c>
      <c r="D291" s="227">
        <v>4380</v>
      </c>
    </row>
    <row r="292" spans="1:4" x14ac:dyDescent="0.25">
      <c r="A292" s="278">
        <v>43974</v>
      </c>
      <c r="B292" s="227">
        <v>38625</v>
      </c>
      <c r="C292" s="227">
        <v>8739</v>
      </c>
      <c r="D292" s="227">
        <v>4621</v>
      </c>
    </row>
    <row r="293" spans="1:4" x14ac:dyDescent="0.25">
      <c r="A293" s="278">
        <v>43973</v>
      </c>
      <c r="B293" s="227">
        <v>40008</v>
      </c>
      <c r="C293" s="227">
        <v>9042</v>
      </c>
      <c r="D293" s="227">
        <v>4714</v>
      </c>
    </row>
    <row r="294" spans="1:4" x14ac:dyDescent="0.25">
      <c r="A294" s="278">
        <v>43972</v>
      </c>
      <c r="B294" s="227">
        <v>41359</v>
      </c>
      <c r="C294" s="227">
        <v>9092</v>
      </c>
      <c r="D294" s="227">
        <v>4871</v>
      </c>
    </row>
    <row r="295" spans="1:4" x14ac:dyDescent="0.25">
      <c r="A295" s="278">
        <v>43971</v>
      </c>
      <c r="B295" s="227">
        <v>41856</v>
      </c>
      <c r="C295" s="227">
        <v>9522</v>
      </c>
      <c r="D295" s="227">
        <v>4907</v>
      </c>
    </row>
    <row r="296" spans="1:4" x14ac:dyDescent="0.25">
      <c r="A296" s="278">
        <v>43970</v>
      </c>
      <c r="B296" s="227">
        <v>42023</v>
      </c>
      <c r="C296" s="227">
        <v>9598</v>
      </c>
      <c r="D296" s="227">
        <v>5032</v>
      </c>
    </row>
    <row r="297" spans="1:4" x14ac:dyDescent="0.25">
      <c r="A297" s="278">
        <v>43969</v>
      </c>
      <c r="B297" s="227">
        <v>41940</v>
      </c>
      <c r="C297" s="227">
        <v>9748</v>
      </c>
      <c r="D297" s="227">
        <v>5260</v>
      </c>
    </row>
    <row r="298" spans="1:4" x14ac:dyDescent="0.25">
      <c r="A298" s="278">
        <v>43968</v>
      </c>
      <c r="B298" s="227">
        <v>42019</v>
      </c>
      <c r="C298" s="227">
        <v>9945</v>
      </c>
      <c r="D298" s="227">
        <v>5467</v>
      </c>
    </row>
    <row r="299" spans="1:4" x14ac:dyDescent="0.25">
      <c r="A299" s="278">
        <v>43967</v>
      </c>
      <c r="B299" s="227">
        <v>43515</v>
      </c>
      <c r="C299" s="227">
        <v>10276</v>
      </c>
      <c r="D299" s="227">
        <v>5532</v>
      </c>
    </row>
    <row r="300" spans="1:4" x14ac:dyDescent="0.25">
      <c r="A300" s="278">
        <v>43966</v>
      </c>
      <c r="B300" s="227">
        <v>44553</v>
      </c>
      <c r="C300" s="227">
        <v>10476</v>
      </c>
      <c r="D300" s="227">
        <v>5744</v>
      </c>
    </row>
    <row r="301" spans="1:4" x14ac:dyDescent="0.25">
      <c r="A301" s="278">
        <v>43965</v>
      </c>
      <c r="B301" s="227">
        <v>45923</v>
      </c>
      <c r="C301" s="227">
        <v>10655</v>
      </c>
      <c r="D301" s="227">
        <v>5940</v>
      </c>
    </row>
    <row r="302" spans="1:4" x14ac:dyDescent="0.25">
      <c r="A302" s="278">
        <v>43964</v>
      </c>
      <c r="B302" s="227">
        <v>46921</v>
      </c>
      <c r="C302" s="227">
        <v>10991</v>
      </c>
      <c r="D302" s="227">
        <v>6164</v>
      </c>
    </row>
    <row r="303" spans="1:4" x14ac:dyDescent="0.25">
      <c r="A303" s="278">
        <v>43963</v>
      </c>
      <c r="B303" s="227">
        <v>47343</v>
      </c>
      <c r="C303" s="227">
        <v>11241</v>
      </c>
      <c r="D303" s="227">
        <v>6350</v>
      </c>
    </row>
    <row r="304" spans="1:4" x14ac:dyDescent="0.25">
      <c r="A304" s="278">
        <v>43962</v>
      </c>
      <c r="B304" s="227">
        <v>46550</v>
      </c>
      <c r="C304" s="227">
        <v>11153</v>
      </c>
      <c r="D304" s="227">
        <v>6349</v>
      </c>
    </row>
    <row r="305" spans="1:4" x14ac:dyDescent="0.25">
      <c r="A305" s="278">
        <v>43961</v>
      </c>
      <c r="B305" s="227">
        <v>46735</v>
      </c>
      <c r="C305" s="227">
        <v>11382</v>
      </c>
      <c r="D305" s="227">
        <v>6392</v>
      </c>
    </row>
    <row r="306" spans="1:4" x14ac:dyDescent="0.25">
      <c r="A306" s="278">
        <v>43960</v>
      </c>
      <c r="B306" s="227">
        <v>48581</v>
      </c>
      <c r="C306" s="227">
        <v>11504</v>
      </c>
      <c r="D306" s="227">
        <v>6550</v>
      </c>
    </row>
    <row r="307" spans="1:4" x14ac:dyDescent="0.25">
      <c r="A307" s="278">
        <v>43959</v>
      </c>
      <c r="B307" s="227">
        <v>49770</v>
      </c>
      <c r="C307" s="227">
        <v>11786</v>
      </c>
      <c r="D307" s="227">
        <v>6793</v>
      </c>
    </row>
    <row r="308" spans="1:4" x14ac:dyDescent="0.25">
      <c r="A308" s="278">
        <v>43958</v>
      </c>
      <c r="B308" s="227">
        <v>51445</v>
      </c>
      <c r="C308" s="227">
        <v>12135</v>
      </c>
      <c r="D308" s="227">
        <v>7067</v>
      </c>
    </row>
    <row r="309" spans="1:4" x14ac:dyDescent="0.25">
      <c r="A309" s="278">
        <v>43957</v>
      </c>
      <c r="B309" s="227">
        <v>52609</v>
      </c>
      <c r="C309" s="227">
        <v>12480</v>
      </c>
      <c r="D309" s="227">
        <v>4758</v>
      </c>
    </row>
    <row r="310" spans="1:4" x14ac:dyDescent="0.25">
      <c r="A310" s="278">
        <v>43956</v>
      </c>
      <c r="B310" s="227">
        <v>53164</v>
      </c>
      <c r="C310" s="227">
        <v>12620</v>
      </c>
      <c r="D310" s="227">
        <v>4810</v>
      </c>
    </row>
    <row r="311" spans="1:4" x14ac:dyDescent="0.25">
      <c r="A311" s="278">
        <v>43955</v>
      </c>
      <c r="B311" s="227">
        <v>52375</v>
      </c>
      <c r="C311" s="227">
        <v>12701</v>
      </c>
      <c r="D311" s="227">
        <v>4852</v>
      </c>
    </row>
    <row r="312" spans="1:4" x14ac:dyDescent="0.25">
      <c r="A312" s="278">
        <v>43954</v>
      </c>
      <c r="B312" s="227">
        <v>52623</v>
      </c>
      <c r="C312" s="227">
        <v>12724</v>
      </c>
      <c r="D312" s="227">
        <v>4762</v>
      </c>
    </row>
    <row r="313" spans="1:4" x14ac:dyDescent="0.25">
      <c r="A313" s="278">
        <v>43953</v>
      </c>
      <c r="B313" s="227">
        <v>54008</v>
      </c>
      <c r="C313" s="227">
        <v>12904</v>
      </c>
      <c r="D313" s="227">
        <v>4846</v>
      </c>
    </row>
    <row r="314" spans="1:4" x14ac:dyDescent="0.25">
      <c r="A314" s="278">
        <v>43952</v>
      </c>
      <c r="B314" s="227">
        <v>54897</v>
      </c>
      <c r="C314" s="227">
        <v>12861</v>
      </c>
      <c r="D314" s="227">
        <v>4712</v>
      </c>
    </row>
    <row r="315" spans="1:4" x14ac:dyDescent="0.25">
      <c r="A315" s="278">
        <v>43951</v>
      </c>
      <c r="B315" s="227">
        <v>54905</v>
      </c>
      <c r="C315" s="227">
        <v>13246</v>
      </c>
      <c r="D315" s="227">
        <v>4708</v>
      </c>
    </row>
    <row r="316" spans="1:4" x14ac:dyDescent="0.25">
      <c r="A316" s="278">
        <v>43950</v>
      </c>
      <c r="B316" s="227">
        <v>56009</v>
      </c>
      <c r="C316" s="227">
        <v>13550</v>
      </c>
      <c r="D316" s="227">
        <v>4803</v>
      </c>
    </row>
    <row r="317" spans="1:4" x14ac:dyDescent="0.25">
      <c r="A317" s="278">
        <v>43949</v>
      </c>
      <c r="B317" s="227">
        <v>56034</v>
      </c>
      <c r="C317" s="227">
        <v>13562</v>
      </c>
      <c r="D317" s="227">
        <v>4760</v>
      </c>
    </row>
    <row r="318" spans="1:4" x14ac:dyDescent="0.25">
      <c r="A318" s="278">
        <v>43948</v>
      </c>
      <c r="B318" s="227">
        <v>56183</v>
      </c>
      <c r="C318" s="227">
        <v>13812</v>
      </c>
      <c r="D318" s="227">
        <v>4867</v>
      </c>
    </row>
    <row r="319" spans="1:4" x14ac:dyDescent="0.25">
      <c r="A319" s="278">
        <v>43947</v>
      </c>
      <c r="B319" s="227">
        <v>56161</v>
      </c>
      <c r="C319" s="227">
        <v>14093</v>
      </c>
      <c r="D319" s="227">
        <v>5119</v>
      </c>
    </row>
    <row r="320" spans="1:4" x14ac:dyDescent="0.25">
      <c r="A320" s="278">
        <v>43946</v>
      </c>
      <c r="B320" s="227">
        <v>57340</v>
      </c>
      <c r="C320" s="227">
        <v>14411</v>
      </c>
      <c r="D320" s="227">
        <v>5266</v>
      </c>
    </row>
    <row r="321" spans="1:4" x14ac:dyDescent="0.25">
      <c r="A321" s="278">
        <v>43945</v>
      </c>
      <c r="B321" s="227">
        <v>57370</v>
      </c>
      <c r="C321" s="227">
        <v>14623</v>
      </c>
      <c r="D321" s="227">
        <v>5194</v>
      </c>
    </row>
    <row r="322" spans="1:4" x14ac:dyDescent="0.25">
      <c r="A322" s="278">
        <v>43944</v>
      </c>
      <c r="B322" s="227">
        <v>59214</v>
      </c>
      <c r="C322" s="227">
        <v>14737</v>
      </c>
      <c r="D322" s="227">
        <v>5463</v>
      </c>
    </row>
    <row r="323" spans="1:4" x14ac:dyDescent="0.25">
      <c r="A323" s="278">
        <v>43943</v>
      </c>
      <c r="B323" s="227">
        <v>59207</v>
      </c>
      <c r="C323" s="227">
        <v>15016</v>
      </c>
      <c r="D323" s="227">
        <v>5474</v>
      </c>
    </row>
    <row r="324" spans="1:4" x14ac:dyDescent="0.25">
      <c r="A324" s="278">
        <v>43942</v>
      </c>
      <c r="B324" s="227">
        <v>59779</v>
      </c>
      <c r="C324" s="227">
        <v>14945</v>
      </c>
      <c r="D324" s="227">
        <v>5514</v>
      </c>
    </row>
    <row r="325" spans="1:4" x14ac:dyDescent="0.25">
      <c r="A325" s="278">
        <v>43941</v>
      </c>
      <c r="B325" s="227">
        <v>56721</v>
      </c>
      <c r="C325" s="227">
        <v>14463</v>
      </c>
      <c r="D325" s="227">
        <v>5569</v>
      </c>
    </row>
    <row r="326" spans="1:4" x14ac:dyDescent="0.25">
      <c r="A326" s="278">
        <v>43940</v>
      </c>
      <c r="B326" s="227">
        <v>56497</v>
      </c>
      <c r="C326" s="227">
        <v>14385</v>
      </c>
      <c r="D326" s="227">
        <v>5603</v>
      </c>
    </row>
    <row r="327" spans="1:4" x14ac:dyDescent="0.25">
      <c r="A327" s="278">
        <v>43939</v>
      </c>
      <c r="B327" s="227">
        <v>57799</v>
      </c>
      <c r="C327" s="227">
        <v>14764</v>
      </c>
      <c r="D327" s="227">
        <v>5733</v>
      </c>
    </row>
    <row r="328" spans="1:4" x14ac:dyDescent="0.25">
      <c r="A328" s="278">
        <v>43938</v>
      </c>
      <c r="B328" s="227">
        <v>58892</v>
      </c>
      <c r="C328" s="227">
        <v>14910</v>
      </c>
      <c r="D328" s="227">
        <v>6098</v>
      </c>
    </row>
    <row r="329" spans="1:4" x14ac:dyDescent="0.25">
      <c r="A329" s="278">
        <v>43937</v>
      </c>
      <c r="B329" s="227">
        <v>59496</v>
      </c>
      <c r="C329" s="227">
        <v>15136</v>
      </c>
      <c r="D329" s="227">
        <v>5940</v>
      </c>
    </row>
    <row r="330" spans="1:4" x14ac:dyDescent="0.25">
      <c r="A330" s="278">
        <v>43936</v>
      </c>
      <c r="B330" s="227">
        <v>59930</v>
      </c>
      <c r="C330" s="227">
        <v>14639</v>
      </c>
      <c r="D330" s="227">
        <v>6033</v>
      </c>
    </row>
    <row r="331" spans="1:4" x14ac:dyDescent="0.25">
      <c r="A331" s="278">
        <v>43935</v>
      </c>
      <c r="B331" s="227">
        <v>59610</v>
      </c>
      <c r="C331" s="227">
        <v>14047</v>
      </c>
      <c r="D331" s="227">
        <v>5981</v>
      </c>
    </row>
    <row r="332" spans="1:4" x14ac:dyDescent="0.25">
      <c r="A332" s="278">
        <v>43934</v>
      </c>
      <c r="B332" s="227">
        <v>56211</v>
      </c>
      <c r="C332" s="227">
        <v>13605</v>
      </c>
      <c r="D332" s="227">
        <v>6170</v>
      </c>
    </row>
    <row r="333" spans="1:4" x14ac:dyDescent="0.25">
      <c r="A333" s="278">
        <v>43933</v>
      </c>
      <c r="B333" s="227">
        <v>55294</v>
      </c>
      <c r="C333" s="227">
        <v>13597</v>
      </c>
      <c r="D333" s="227">
        <v>5962</v>
      </c>
    </row>
    <row r="334" spans="1:4" x14ac:dyDescent="0.25">
      <c r="A334" s="278">
        <v>43932</v>
      </c>
      <c r="B334" s="227">
        <v>55563</v>
      </c>
      <c r="C334" s="227">
        <v>13293</v>
      </c>
      <c r="D334" s="227">
        <v>5986</v>
      </c>
    </row>
    <row r="335" spans="1:4" x14ac:dyDescent="0.25">
      <c r="A335" s="278">
        <v>43931</v>
      </c>
      <c r="B335" s="227">
        <v>53167</v>
      </c>
      <c r="C335" s="227">
        <v>12693</v>
      </c>
      <c r="D335" s="227">
        <v>5937</v>
      </c>
    </row>
    <row r="336" spans="1:4" x14ac:dyDescent="0.25">
      <c r="A336" s="278">
        <v>43930</v>
      </c>
      <c r="B336" s="227">
        <v>51323</v>
      </c>
      <c r="C336" s="227">
        <v>12445</v>
      </c>
      <c r="D336" s="227">
        <v>5798</v>
      </c>
    </row>
    <row r="337" spans="1:4" x14ac:dyDescent="0.25">
      <c r="A337" s="278">
        <v>43929</v>
      </c>
      <c r="B337" s="227">
        <v>45359</v>
      </c>
      <c r="C337" s="227">
        <v>10276</v>
      </c>
      <c r="D337" s="227">
        <v>4142</v>
      </c>
    </row>
    <row r="338" spans="1:4" x14ac:dyDescent="0.25">
      <c r="A338" s="278">
        <v>43928</v>
      </c>
      <c r="B338" s="227">
        <v>43849</v>
      </c>
      <c r="C338" s="227">
        <v>9978</v>
      </c>
      <c r="D338" s="227">
        <v>4047</v>
      </c>
    </row>
    <row r="339" spans="1:4" x14ac:dyDescent="0.25">
      <c r="A339" s="278">
        <v>43927</v>
      </c>
      <c r="B339" s="227">
        <v>36159</v>
      </c>
      <c r="C339" s="227">
        <v>7079</v>
      </c>
      <c r="D339" s="227">
        <v>2961</v>
      </c>
    </row>
    <row r="340" spans="1:4" x14ac:dyDescent="0.25">
      <c r="A340" s="278">
        <v>43926</v>
      </c>
      <c r="B340" s="227">
        <v>32180</v>
      </c>
      <c r="C340" s="227">
        <v>5811</v>
      </c>
      <c r="D340" s="185">
        <v>650</v>
      </c>
    </row>
    <row r="341" spans="1:4" x14ac:dyDescent="0.25">
      <c r="A341" s="278">
        <v>43925</v>
      </c>
      <c r="B341" s="227">
        <v>30456</v>
      </c>
      <c r="C341" s="227">
        <v>5500</v>
      </c>
      <c r="D341" s="185">
        <v>656</v>
      </c>
    </row>
    <row r="342" spans="1:4" x14ac:dyDescent="0.25">
      <c r="A342" s="278">
        <v>43924</v>
      </c>
      <c r="B342" s="227">
        <v>25723</v>
      </c>
      <c r="C342" s="227">
        <v>4928</v>
      </c>
      <c r="D342" s="185">
        <v>623</v>
      </c>
    </row>
    <row r="343" spans="1:4" x14ac:dyDescent="0.25">
      <c r="A343" s="278">
        <v>43923</v>
      </c>
      <c r="B343" s="227">
        <v>22995</v>
      </c>
      <c r="C343" s="227">
        <v>4513</v>
      </c>
      <c r="D343" s="185">
        <v>576</v>
      </c>
    </row>
    <row r="344" spans="1:4" x14ac:dyDescent="0.25">
      <c r="A344" s="278">
        <v>43922</v>
      </c>
      <c r="B344" s="227">
        <v>20906</v>
      </c>
      <c r="C344" s="227">
        <v>3937</v>
      </c>
      <c r="D344" s="185">
        <v>561</v>
      </c>
    </row>
    <row r="345" spans="1:4" x14ac:dyDescent="0.25">
      <c r="A345" s="278">
        <v>43921</v>
      </c>
      <c r="B345" s="227">
        <v>18155</v>
      </c>
      <c r="C345" s="227">
        <v>3487</v>
      </c>
      <c r="D345" s="185">
        <v>506</v>
      </c>
    </row>
    <row r="346" spans="1:4" x14ac:dyDescent="0.25">
      <c r="A346" s="278">
        <v>43920</v>
      </c>
      <c r="B346" s="227">
        <v>15892</v>
      </c>
      <c r="C346" s="227">
        <v>3087</v>
      </c>
      <c r="D346" s="185">
        <v>449</v>
      </c>
    </row>
    <row r="347" spans="1:4" x14ac:dyDescent="0.25">
      <c r="A347" s="278">
        <v>43919</v>
      </c>
      <c r="B347" s="227">
        <v>14055</v>
      </c>
      <c r="C347" s="227">
        <v>2456</v>
      </c>
      <c r="D347" s="185">
        <v>433</v>
      </c>
    </row>
    <row r="348" spans="1:4" x14ac:dyDescent="0.25">
      <c r="A348" s="278">
        <v>43918</v>
      </c>
      <c r="B348" s="227">
        <v>12393</v>
      </c>
      <c r="C348" s="227">
        <v>2174</v>
      </c>
      <c r="D348" s="185">
        <v>390</v>
      </c>
    </row>
    <row r="349" spans="1:4" x14ac:dyDescent="0.25">
      <c r="A349" s="278">
        <v>43917</v>
      </c>
      <c r="B349" s="227">
        <v>10887</v>
      </c>
      <c r="C349" s="227">
        <v>1792</v>
      </c>
      <c r="D349" s="185">
        <v>293</v>
      </c>
    </row>
    <row r="350" spans="1:4" x14ac:dyDescent="0.25">
      <c r="A350" s="278">
        <v>43916</v>
      </c>
      <c r="B350" s="227">
        <v>7805</v>
      </c>
      <c r="C350" s="227">
        <v>1299</v>
      </c>
      <c r="D350" s="185">
        <v>258</v>
      </c>
    </row>
    <row r="351" spans="1:4" x14ac:dyDescent="0.25">
      <c r="A351" s="278">
        <v>43915</v>
      </c>
      <c r="B351" s="227">
        <v>5140</v>
      </c>
      <c r="C351" s="185" t="s">
        <v>338</v>
      </c>
      <c r="D351" s="185">
        <v>167</v>
      </c>
    </row>
    <row r="352" spans="1:4" x14ac:dyDescent="0.25">
      <c r="A352" s="278">
        <v>43914</v>
      </c>
      <c r="B352" s="227">
        <v>3938</v>
      </c>
      <c r="C352" s="185" t="s">
        <v>338</v>
      </c>
      <c r="D352" s="185" t="s">
        <v>338</v>
      </c>
    </row>
    <row r="353" spans="1:4" x14ac:dyDescent="0.25">
      <c r="A353" s="278">
        <v>43913</v>
      </c>
      <c r="B353" s="227">
        <v>2812</v>
      </c>
      <c r="C353" s="185" t="s">
        <v>338</v>
      </c>
      <c r="D353" s="185" t="s">
        <v>338</v>
      </c>
    </row>
    <row r="354" spans="1:4" x14ac:dyDescent="0.25">
      <c r="A354" s="278">
        <v>43912</v>
      </c>
      <c r="B354" s="227">
        <v>2173</v>
      </c>
      <c r="C354" s="185" t="s">
        <v>338</v>
      </c>
      <c r="D354" s="185" t="s">
        <v>338</v>
      </c>
    </row>
    <row r="355" spans="1:4" x14ac:dyDescent="0.25">
      <c r="A355" s="278">
        <v>43911</v>
      </c>
      <c r="B355" s="227">
        <v>1492</v>
      </c>
      <c r="C355" s="185" t="s">
        <v>338</v>
      </c>
      <c r="D355" s="185" t="s">
        <v>338</v>
      </c>
    </row>
    <row r="356" spans="1:4" x14ac:dyDescent="0.25">
      <c r="A356" s="278">
        <v>43910</v>
      </c>
      <c r="B356" s="227">
        <v>1042</v>
      </c>
      <c r="C356" s="185" t="s">
        <v>338</v>
      </c>
      <c r="D356" s="185" t="s">
        <v>338</v>
      </c>
    </row>
    <row r="357" spans="1:4" x14ac:dyDescent="0.25">
      <c r="A357" s="278">
        <v>43909</v>
      </c>
      <c r="B357" s="185">
        <v>617</v>
      </c>
      <c r="C357" s="185" t="s">
        <v>338</v>
      </c>
      <c r="D357" s="185" t="s">
        <v>338</v>
      </c>
    </row>
    <row r="358" spans="1:4" x14ac:dyDescent="0.25">
      <c r="A358" s="278">
        <v>43908</v>
      </c>
      <c r="B358" s="185">
        <v>416</v>
      </c>
      <c r="C358" s="185" t="s">
        <v>338</v>
      </c>
      <c r="D358" s="185" t="s">
        <v>338</v>
      </c>
    </row>
    <row r="359" spans="1:4" x14ac:dyDescent="0.25">
      <c r="A359" s="278">
        <v>43907</v>
      </c>
      <c r="B359" s="185">
        <v>325</v>
      </c>
      <c r="C359" s="185" t="s">
        <v>338</v>
      </c>
      <c r="D359" s="185" t="s">
        <v>338</v>
      </c>
    </row>
    <row r="360" spans="1:4" x14ac:dyDescent="0.25">
      <c r="A360" s="278">
        <v>43906</v>
      </c>
      <c r="B360" s="185" t="s">
        <v>338</v>
      </c>
      <c r="C360" s="185" t="s">
        <v>338</v>
      </c>
      <c r="D360" s="185" t="s">
        <v>338</v>
      </c>
    </row>
    <row r="361" spans="1:4" x14ac:dyDescent="0.25">
      <c r="A361" s="278">
        <v>43905</v>
      </c>
      <c r="B361" s="185" t="s">
        <v>338</v>
      </c>
      <c r="C361" s="185" t="s">
        <v>338</v>
      </c>
      <c r="D361" s="185" t="s">
        <v>338</v>
      </c>
    </row>
    <row r="362" spans="1:4" x14ac:dyDescent="0.25">
      <c r="A362" s="278">
        <v>43904</v>
      </c>
      <c r="B362" s="185" t="s">
        <v>338</v>
      </c>
      <c r="C362" s="185" t="s">
        <v>338</v>
      </c>
      <c r="D362" s="185" t="s">
        <v>338</v>
      </c>
    </row>
    <row r="363" spans="1:4" x14ac:dyDescent="0.25">
      <c r="A363" s="278">
        <v>43903</v>
      </c>
      <c r="B363" s="185" t="s">
        <v>338</v>
      </c>
      <c r="C363" s="185" t="s">
        <v>338</v>
      </c>
      <c r="D363" s="185" t="s">
        <v>338</v>
      </c>
    </row>
    <row r="364" spans="1:4" x14ac:dyDescent="0.25">
      <c r="A364" s="278">
        <v>43902</v>
      </c>
      <c r="B364" s="185" t="s">
        <v>338</v>
      </c>
      <c r="C364" s="185" t="s">
        <v>338</v>
      </c>
      <c r="D364" s="185" t="s">
        <v>338</v>
      </c>
    </row>
    <row r="365" spans="1:4" x14ac:dyDescent="0.25">
      <c r="A365" s="278">
        <v>43901</v>
      </c>
      <c r="B365" s="185" t="s">
        <v>338</v>
      </c>
      <c r="C365" s="185" t="s">
        <v>338</v>
      </c>
      <c r="D365" s="185" t="s">
        <v>338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0493-E2ED-432C-B62D-23CC9B373634}">
  <dimension ref="A2:I53"/>
  <sheetViews>
    <sheetView topLeftCell="A34" workbookViewId="0">
      <selection activeCell="A46" sqref="A46"/>
    </sheetView>
  </sheetViews>
  <sheetFormatPr defaultRowHeight="15" x14ac:dyDescent="0.25"/>
  <cols>
    <col min="1" max="1" width="60.140625" bestFit="1" customWidth="1"/>
    <col min="2" max="2" width="14.5703125" bestFit="1" customWidth="1"/>
    <col min="3" max="3" width="11.42578125" bestFit="1" customWidth="1"/>
  </cols>
  <sheetData>
    <row r="2" spans="1:3" x14ac:dyDescent="0.25">
      <c r="A2" t="s">
        <v>3420</v>
      </c>
      <c r="B2" s="218">
        <v>44312</v>
      </c>
      <c r="C2" s="218">
        <v>44312</v>
      </c>
    </row>
    <row r="3" spans="1:3" x14ac:dyDescent="0.25">
      <c r="A3" t="s">
        <v>3421</v>
      </c>
      <c r="B3" s="55">
        <v>95000000</v>
      </c>
      <c r="C3" s="33"/>
    </row>
    <row r="4" spans="1:3" x14ac:dyDescent="0.25">
      <c r="A4" t="s">
        <v>3422</v>
      </c>
      <c r="B4" s="55">
        <v>9245</v>
      </c>
      <c r="C4" s="33"/>
    </row>
    <row r="5" spans="1:3" x14ac:dyDescent="0.25">
      <c r="A5" t="s">
        <v>3423</v>
      </c>
      <c r="B5" s="55">
        <v>5827</v>
      </c>
      <c r="C5" s="296">
        <v>0.63</v>
      </c>
    </row>
    <row r="6" spans="1:3" x14ac:dyDescent="0.25">
      <c r="A6" t="s">
        <v>3424</v>
      </c>
      <c r="B6" s="55">
        <v>4245</v>
      </c>
      <c r="C6" s="296">
        <v>0.45</v>
      </c>
    </row>
    <row r="7" spans="1:3" x14ac:dyDescent="0.25">
      <c r="A7" t="s">
        <v>3425</v>
      </c>
      <c r="B7" s="55">
        <v>2525</v>
      </c>
      <c r="C7" s="296">
        <v>0.27</v>
      </c>
    </row>
    <row r="8" spans="1:3" x14ac:dyDescent="0.25">
      <c r="A8" t="s">
        <v>2488</v>
      </c>
      <c r="B8" s="33">
        <v>835</v>
      </c>
      <c r="C8" s="33" t="s">
        <v>3428</v>
      </c>
    </row>
    <row r="9" spans="1:3" x14ac:dyDescent="0.25">
      <c r="A9" t="s">
        <v>10</v>
      </c>
      <c r="B9" s="33">
        <v>132</v>
      </c>
      <c r="C9" s="33" t="s">
        <v>3429</v>
      </c>
    </row>
    <row r="10" spans="1:3" x14ac:dyDescent="0.25">
      <c r="A10" t="s">
        <v>3426</v>
      </c>
      <c r="B10" s="297">
        <f>B9/B3</f>
        <v>1.3894736842105263E-6</v>
      </c>
      <c r="C10" s="33"/>
    </row>
    <row r="11" spans="1:3" x14ac:dyDescent="0.25">
      <c r="A11" t="s">
        <v>3427</v>
      </c>
      <c r="B11" s="297">
        <f>1-B10</f>
        <v>0.99999861052631578</v>
      </c>
      <c r="C11" s="33"/>
    </row>
    <row r="13" spans="1:3" x14ac:dyDescent="0.25">
      <c r="A13" t="s">
        <v>3432</v>
      </c>
    </row>
    <row r="14" spans="1:3" x14ac:dyDescent="0.25">
      <c r="A14" t="s">
        <v>3430</v>
      </c>
    </row>
    <row r="15" spans="1:3" x14ac:dyDescent="0.25">
      <c r="A15" t="s">
        <v>3431</v>
      </c>
    </row>
    <row r="19" spans="1:2" x14ac:dyDescent="0.25">
      <c r="A19" t="s">
        <v>3487</v>
      </c>
    </row>
    <row r="20" spans="1:2" ht="18.75" customHeight="1" x14ac:dyDescent="0.25">
      <c r="A20" s="373" t="s">
        <v>3433</v>
      </c>
      <c r="B20" s="373"/>
    </row>
    <row r="21" spans="1:2" x14ac:dyDescent="0.25">
      <c r="A21" s="173" t="s">
        <v>3434</v>
      </c>
      <c r="B21" s="173" t="s">
        <v>3435</v>
      </c>
    </row>
    <row r="22" spans="1:2" x14ac:dyDescent="0.25">
      <c r="A22" s="6" t="s">
        <v>3460</v>
      </c>
      <c r="B22" s="6" t="s">
        <v>3436</v>
      </c>
    </row>
    <row r="23" spans="1:2" x14ac:dyDescent="0.25">
      <c r="A23" s="6" t="s">
        <v>3461</v>
      </c>
      <c r="B23" s="6" t="s">
        <v>3437</v>
      </c>
    </row>
    <row r="24" spans="1:2" x14ac:dyDescent="0.25">
      <c r="A24" s="6" t="s">
        <v>3462</v>
      </c>
      <c r="B24" s="6" t="s">
        <v>3438</v>
      </c>
    </row>
    <row r="25" spans="1:2" x14ac:dyDescent="0.25">
      <c r="A25" s="6" t="s">
        <v>3463</v>
      </c>
      <c r="B25" s="6" t="s">
        <v>3439</v>
      </c>
    </row>
    <row r="26" spans="1:2" x14ac:dyDescent="0.25">
      <c r="A26" s="6" t="s">
        <v>3464</v>
      </c>
      <c r="B26" s="6" t="s">
        <v>3440</v>
      </c>
    </row>
    <row r="27" spans="1:2" x14ac:dyDescent="0.25">
      <c r="A27" s="6" t="s">
        <v>3465</v>
      </c>
      <c r="B27" t="s">
        <v>3441</v>
      </c>
    </row>
    <row r="28" spans="1:2" x14ac:dyDescent="0.25">
      <c r="A28" t="s">
        <v>456</v>
      </c>
      <c r="B28" s="6" t="s">
        <v>3442</v>
      </c>
    </row>
    <row r="29" spans="1:2" x14ac:dyDescent="0.25">
      <c r="A29" t="s">
        <v>3466</v>
      </c>
      <c r="B29" s="6" t="s">
        <v>3443</v>
      </c>
    </row>
    <row r="30" spans="1:2" x14ac:dyDescent="0.25">
      <c r="A30" t="s">
        <v>3467</v>
      </c>
      <c r="B30" s="6" t="s">
        <v>3444</v>
      </c>
    </row>
    <row r="31" spans="1:2" x14ac:dyDescent="0.25">
      <c r="A31" t="s">
        <v>3468</v>
      </c>
      <c r="B31" s="6" t="s">
        <v>3445</v>
      </c>
    </row>
    <row r="32" spans="1:2" x14ac:dyDescent="0.25">
      <c r="A32" t="s">
        <v>3469</v>
      </c>
      <c r="B32" s="6" t="s">
        <v>3446</v>
      </c>
    </row>
    <row r="33" spans="1:3" x14ac:dyDescent="0.25">
      <c r="A33" s="6" t="s">
        <v>3470</v>
      </c>
      <c r="B33" s="6" t="s">
        <v>3447</v>
      </c>
    </row>
    <row r="34" spans="1:3" x14ac:dyDescent="0.25">
      <c r="A34" s="6" t="s">
        <v>3471</v>
      </c>
      <c r="B34" t="s">
        <v>3448</v>
      </c>
    </row>
    <row r="35" spans="1:3" x14ac:dyDescent="0.25">
      <c r="A35" t="s">
        <v>3472</v>
      </c>
      <c r="B35" s="6" t="s">
        <v>3449</v>
      </c>
    </row>
    <row r="36" spans="1:3" x14ac:dyDescent="0.25">
      <c r="A36" t="s">
        <v>3473</v>
      </c>
      <c r="B36" s="6" t="s">
        <v>3450</v>
      </c>
    </row>
    <row r="37" spans="1:3" x14ac:dyDescent="0.25">
      <c r="A37" t="s">
        <v>3474</v>
      </c>
      <c r="B37" s="6" t="s">
        <v>3451</v>
      </c>
    </row>
    <row r="38" spans="1:3" x14ac:dyDescent="0.25">
      <c r="A38" t="s">
        <v>3475</v>
      </c>
      <c r="B38" s="6" t="s">
        <v>3452</v>
      </c>
    </row>
    <row r="39" spans="1:3" x14ac:dyDescent="0.25">
      <c r="A39" t="s">
        <v>3476</v>
      </c>
      <c r="B39" s="6" t="s">
        <v>3453</v>
      </c>
    </row>
    <row r="40" spans="1:3" x14ac:dyDescent="0.25">
      <c r="A40" t="s">
        <v>3477</v>
      </c>
      <c r="B40" s="6" t="s">
        <v>3454</v>
      </c>
    </row>
    <row r="41" spans="1:3" x14ac:dyDescent="0.25">
      <c r="A41" t="s">
        <v>3478</v>
      </c>
      <c r="B41" s="6" t="s">
        <v>3455</v>
      </c>
    </row>
    <row r="42" spans="1:3" x14ac:dyDescent="0.25">
      <c r="A42" t="s">
        <v>3479</v>
      </c>
      <c r="B42" s="6" t="s">
        <v>3456</v>
      </c>
    </row>
    <row r="43" spans="1:3" x14ac:dyDescent="0.25">
      <c r="A43" t="s">
        <v>3480</v>
      </c>
      <c r="B43" s="6" t="s">
        <v>3457</v>
      </c>
    </row>
    <row r="44" spans="1:3" x14ac:dyDescent="0.25">
      <c r="A44" s="6" t="s">
        <v>3481</v>
      </c>
      <c r="B44" t="s">
        <v>3458</v>
      </c>
    </row>
    <row r="45" spans="1:3" x14ac:dyDescent="0.25">
      <c r="A45" t="s">
        <v>3482</v>
      </c>
      <c r="B45" s="6" t="s">
        <v>3459</v>
      </c>
    </row>
    <row r="46" spans="1:3" x14ac:dyDescent="0.25">
      <c r="A46" s="6" t="s">
        <v>3490</v>
      </c>
      <c r="B46" s="6" t="s">
        <v>3488</v>
      </c>
      <c r="C46" s="298">
        <f>1/B10</f>
        <v>719696.96969696973</v>
      </c>
    </row>
    <row r="47" spans="1:3" x14ac:dyDescent="0.25">
      <c r="A47" s="6"/>
      <c r="B47" s="6"/>
    </row>
    <row r="48" spans="1:3" x14ac:dyDescent="0.25">
      <c r="A48" s="6" t="s">
        <v>3483</v>
      </c>
      <c r="B48" s="1" t="s">
        <v>3484</v>
      </c>
    </row>
    <row r="49" spans="1:9" x14ac:dyDescent="0.25">
      <c r="A49" s="6" t="s">
        <v>3485</v>
      </c>
      <c r="B49" s="1" t="s">
        <v>3484</v>
      </c>
      <c r="F49" t="s">
        <v>3489</v>
      </c>
      <c r="H49" s="298">
        <f>1000000/0.17</f>
        <v>5882352.9411764704</v>
      </c>
      <c r="I49" t="s">
        <v>3486</v>
      </c>
    </row>
    <row r="50" spans="1:9" x14ac:dyDescent="0.25">
      <c r="A50" s="6"/>
      <c r="B50" s="6"/>
    </row>
    <row r="51" spans="1:9" x14ac:dyDescent="0.25">
      <c r="A51" s="6"/>
      <c r="B51" s="6"/>
    </row>
    <row r="52" spans="1:9" x14ac:dyDescent="0.25">
      <c r="A52" s="6"/>
      <c r="B52" s="6"/>
    </row>
    <row r="53" spans="1:9" x14ac:dyDescent="0.25">
      <c r="A53" s="6"/>
      <c r="B53" s="6"/>
    </row>
  </sheetData>
  <mergeCells count="1">
    <mergeCell ref="A20:B20"/>
  </mergeCells>
  <pageMargins left="0.7" right="0.7" top="0.75" bottom="0.75" header="0.3" footer="0.3"/>
  <pageSetup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75B71-18CC-4D5B-9BE4-CA5F97AE67FC}">
  <dimension ref="A2:P44"/>
  <sheetViews>
    <sheetView workbookViewId="0"/>
  </sheetViews>
  <sheetFormatPr defaultRowHeight="15" x14ac:dyDescent="0.25"/>
  <cols>
    <col min="1" max="1" width="43" customWidth="1"/>
    <col min="2" max="2" width="7.5703125" bestFit="1" customWidth="1"/>
    <col min="3" max="3" width="12.42578125" bestFit="1" customWidth="1"/>
    <col min="4" max="4" width="16" bestFit="1" customWidth="1"/>
    <col min="5" max="5" width="10.140625" bestFit="1" customWidth="1"/>
    <col min="6" max="6" width="10.7109375" bestFit="1" customWidth="1"/>
    <col min="7" max="13" width="10.140625" bestFit="1" customWidth="1"/>
    <col min="15" max="15" width="10.140625" bestFit="1" customWidth="1"/>
  </cols>
  <sheetData>
    <row r="2" spans="1:16" x14ac:dyDescent="0.25">
      <c r="A2" t="s">
        <v>2471</v>
      </c>
      <c r="B2" t="s">
        <v>2523</v>
      </c>
      <c r="C2" t="s">
        <v>2515</v>
      </c>
      <c r="D2" t="s">
        <v>2513</v>
      </c>
      <c r="E2" t="s">
        <v>2518</v>
      </c>
      <c r="F2" t="s">
        <v>2481</v>
      </c>
      <c r="G2" t="s">
        <v>2472</v>
      </c>
      <c r="H2" t="s">
        <v>2473</v>
      </c>
      <c r="I2" t="s">
        <v>2473</v>
      </c>
      <c r="J2" t="s">
        <v>2474</v>
      </c>
      <c r="K2" t="s">
        <v>2475</v>
      </c>
      <c r="L2" t="s">
        <v>2476</v>
      </c>
      <c r="M2" t="s">
        <v>2482</v>
      </c>
      <c r="N2" t="s">
        <v>2483</v>
      </c>
      <c r="O2" t="s">
        <v>2484</v>
      </c>
      <c r="P2" t="s">
        <v>388</v>
      </c>
    </row>
    <row r="3" spans="1:16" x14ac:dyDescent="0.25">
      <c r="A3" t="s">
        <v>2485</v>
      </c>
      <c r="D3" s="30">
        <v>28405925</v>
      </c>
      <c r="E3" s="30">
        <f>AVERAGE(F3:O3)</f>
        <v>29630000</v>
      </c>
      <c r="F3" s="30">
        <v>38000000</v>
      </c>
      <c r="G3" s="30">
        <v>36000000</v>
      </c>
      <c r="H3" s="30">
        <v>45000000</v>
      </c>
      <c r="I3" s="30">
        <v>29000000</v>
      </c>
      <c r="J3" s="30">
        <v>24000000</v>
      </c>
      <c r="K3" s="30">
        <v>30000000</v>
      </c>
      <c r="L3" s="30">
        <v>30000000</v>
      </c>
      <c r="M3" s="30">
        <v>34000000</v>
      </c>
      <c r="N3" s="30">
        <v>9300000</v>
      </c>
      <c r="O3" s="30">
        <v>21000000</v>
      </c>
      <c r="P3" t="s">
        <v>2486</v>
      </c>
    </row>
    <row r="4" spans="1:16" x14ac:dyDescent="0.25">
      <c r="A4" t="s">
        <v>2487</v>
      </c>
      <c r="E4" s="30">
        <f t="shared" ref="E4:E8" si="0">AVERAGE(F4:O4)</f>
        <v>13830000</v>
      </c>
      <c r="F4" s="30">
        <v>18000000</v>
      </c>
      <c r="G4" s="30">
        <v>17000000</v>
      </c>
      <c r="H4" s="30">
        <v>21000000</v>
      </c>
      <c r="I4" s="30">
        <v>14000000</v>
      </c>
      <c r="J4" s="30">
        <v>11000000</v>
      </c>
      <c r="K4" s="30">
        <v>14000000</v>
      </c>
      <c r="L4" s="30">
        <v>13000000</v>
      </c>
      <c r="M4" s="30">
        <v>16000000</v>
      </c>
      <c r="N4" s="30">
        <v>4300000</v>
      </c>
      <c r="O4" s="30">
        <v>10000000</v>
      </c>
      <c r="P4" t="s">
        <v>2486</v>
      </c>
    </row>
    <row r="5" spans="1:16" x14ac:dyDescent="0.25">
      <c r="A5" t="s">
        <v>2488</v>
      </c>
      <c r="D5" s="30">
        <f>Hospitals!B3</f>
        <v>20643016</v>
      </c>
      <c r="E5" s="30">
        <f t="shared" si="0"/>
        <v>442000</v>
      </c>
      <c r="F5" s="30">
        <v>400000</v>
      </c>
      <c r="G5" s="30">
        <v>490000</v>
      </c>
      <c r="H5" s="30">
        <v>810000</v>
      </c>
      <c r="I5" s="30">
        <v>500000</v>
      </c>
      <c r="J5" s="30">
        <v>280000</v>
      </c>
      <c r="K5" s="30">
        <v>590000</v>
      </c>
      <c r="L5" s="30">
        <v>350000</v>
      </c>
      <c r="M5" s="30">
        <v>570000</v>
      </c>
      <c r="N5" s="30">
        <v>140000</v>
      </c>
      <c r="O5" s="30">
        <v>290000</v>
      </c>
      <c r="P5" t="s">
        <v>2486</v>
      </c>
    </row>
    <row r="6" spans="1:16" x14ac:dyDescent="0.25">
      <c r="A6" t="s">
        <v>2533</v>
      </c>
      <c r="D6" s="30">
        <f>Hospitals!C3</f>
        <v>4056815</v>
      </c>
      <c r="E6" s="30"/>
      <c r="F6" s="30"/>
      <c r="G6" s="30"/>
      <c r="H6" s="30"/>
      <c r="I6" s="30"/>
      <c r="J6" s="30"/>
      <c r="K6" s="30"/>
      <c r="L6" s="30"/>
      <c r="M6" s="30"/>
      <c r="N6" s="30"/>
      <c r="O6" s="30"/>
    </row>
    <row r="7" spans="1:16" x14ac:dyDescent="0.25">
      <c r="A7" t="s">
        <v>2534</v>
      </c>
      <c r="D7" s="30">
        <f>Hospitals!D3</f>
        <v>1383024</v>
      </c>
      <c r="E7" s="30"/>
      <c r="F7" s="30"/>
      <c r="G7" s="30"/>
      <c r="H7" s="30"/>
      <c r="I7" s="30"/>
      <c r="J7" s="30"/>
      <c r="K7" s="30"/>
      <c r="L7" s="30"/>
      <c r="M7" s="30"/>
      <c r="N7" s="30"/>
      <c r="O7" s="30"/>
    </row>
    <row r="8" spans="1:16" x14ac:dyDescent="0.25">
      <c r="A8" t="s">
        <v>2489</v>
      </c>
      <c r="C8" s="30">
        <v>665000</v>
      </c>
      <c r="D8" s="30">
        <v>548162</v>
      </c>
      <c r="E8" s="30">
        <f t="shared" si="0"/>
        <v>35900</v>
      </c>
      <c r="F8" s="30">
        <v>22000</v>
      </c>
      <c r="G8" s="30">
        <v>34000</v>
      </c>
      <c r="H8" s="30">
        <v>61000</v>
      </c>
      <c r="I8" s="30">
        <v>38000</v>
      </c>
      <c r="J8" s="30">
        <v>23000</v>
      </c>
      <c r="K8" s="30">
        <v>51000</v>
      </c>
      <c r="L8" s="30">
        <v>38000</v>
      </c>
      <c r="M8" s="30">
        <v>43000</v>
      </c>
      <c r="N8" s="30">
        <v>12000</v>
      </c>
      <c r="O8" s="30">
        <v>37000</v>
      </c>
      <c r="P8" t="s">
        <v>2514</v>
      </c>
    </row>
    <row r="9" spans="1:16" x14ac:dyDescent="0.25">
      <c r="A9" t="s">
        <v>3496</v>
      </c>
      <c r="C9" s="30">
        <f>C8/365</f>
        <v>1821.9178082191781</v>
      </c>
      <c r="D9" s="30">
        <f t="shared" ref="D9:O9" si="1">D8/365</f>
        <v>1501.813698630137</v>
      </c>
      <c r="E9" s="30">
        <f t="shared" si="1"/>
        <v>98.356164383561648</v>
      </c>
      <c r="F9" s="30">
        <f t="shared" si="1"/>
        <v>60.273972602739725</v>
      </c>
      <c r="G9" s="30">
        <f t="shared" si="1"/>
        <v>93.150684931506845</v>
      </c>
      <c r="H9" s="30">
        <f t="shared" si="1"/>
        <v>167.12328767123287</v>
      </c>
      <c r="I9" s="30">
        <f t="shared" si="1"/>
        <v>104.10958904109589</v>
      </c>
      <c r="J9" s="30">
        <f t="shared" si="1"/>
        <v>63.013698630136986</v>
      </c>
      <c r="K9" s="30">
        <f t="shared" si="1"/>
        <v>139.72602739726028</v>
      </c>
      <c r="L9" s="30">
        <f t="shared" si="1"/>
        <v>104.10958904109589</v>
      </c>
      <c r="M9" s="30">
        <f t="shared" si="1"/>
        <v>117.8082191780822</v>
      </c>
      <c r="N9" s="30">
        <f t="shared" si="1"/>
        <v>32.876712328767127</v>
      </c>
      <c r="O9" s="30">
        <f t="shared" si="1"/>
        <v>101.36986301369863</v>
      </c>
    </row>
    <row r="10" spans="1:16" x14ac:dyDescent="0.25">
      <c r="A10" t="s">
        <v>2516</v>
      </c>
      <c r="C10" s="213" t="s">
        <v>2517</v>
      </c>
      <c r="D10" s="30"/>
      <c r="E10" s="30"/>
      <c r="F10" s="30"/>
      <c r="G10" s="30"/>
      <c r="H10" s="30"/>
      <c r="I10" s="30"/>
      <c r="J10" s="30"/>
      <c r="K10" s="30"/>
      <c r="L10" s="30"/>
      <c r="M10" s="30"/>
      <c r="N10" s="30"/>
      <c r="O10" s="30"/>
    </row>
    <row r="12" spans="1:16" x14ac:dyDescent="0.25">
      <c r="A12" t="s">
        <v>2509</v>
      </c>
      <c r="D12" s="57">
        <f>D$8/D3</f>
        <v>1.9297452908152084E-2</v>
      </c>
      <c r="E12" s="57">
        <f>E$8/E3</f>
        <v>1.2116098548768141E-3</v>
      </c>
      <c r="F12" s="57">
        <f>F$8/F3</f>
        <v>5.7894736842105268E-4</v>
      </c>
      <c r="G12" s="57">
        <f t="shared" ref="G12:O12" si="2">G$8/G3</f>
        <v>9.4444444444444448E-4</v>
      </c>
      <c r="H12" s="57">
        <f t="shared" si="2"/>
        <v>1.3555555555555556E-3</v>
      </c>
      <c r="I12" s="57">
        <f t="shared" si="2"/>
        <v>1.310344827586207E-3</v>
      </c>
      <c r="J12" s="57">
        <f t="shared" si="2"/>
        <v>9.5833333333333328E-4</v>
      </c>
      <c r="K12" s="57">
        <f t="shared" si="2"/>
        <v>1.6999999999999999E-3</v>
      </c>
      <c r="L12" s="57">
        <f t="shared" si="2"/>
        <v>1.2666666666666666E-3</v>
      </c>
      <c r="M12" s="57">
        <f t="shared" si="2"/>
        <v>1.2647058823529412E-3</v>
      </c>
      <c r="N12" s="57">
        <f t="shared" si="2"/>
        <v>1.2903225806451613E-3</v>
      </c>
      <c r="O12" s="57">
        <f t="shared" si="2"/>
        <v>1.7619047619047618E-3</v>
      </c>
    </row>
    <row r="13" spans="1:16" x14ac:dyDescent="0.25">
      <c r="A13" t="s">
        <v>2510</v>
      </c>
      <c r="E13" s="57">
        <f t="shared" ref="E13" si="3">E$8/E4</f>
        <v>2.5958062183658714E-3</v>
      </c>
      <c r="F13" s="57">
        <f t="shared" ref="F13:O13" si="4">F$8/F4</f>
        <v>1.2222222222222222E-3</v>
      </c>
      <c r="G13" s="57">
        <f t="shared" si="4"/>
        <v>2E-3</v>
      </c>
      <c r="H13" s="57">
        <f t="shared" si="4"/>
        <v>2.9047619047619048E-3</v>
      </c>
      <c r="I13" s="57">
        <f t="shared" si="4"/>
        <v>2.7142857142857142E-3</v>
      </c>
      <c r="J13" s="57">
        <f t="shared" si="4"/>
        <v>2.0909090909090908E-3</v>
      </c>
      <c r="K13" s="57">
        <f t="shared" si="4"/>
        <v>3.642857142857143E-3</v>
      </c>
      <c r="L13" s="57">
        <f t="shared" si="4"/>
        <v>2.9230769230769232E-3</v>
      </c>
      <c r="M13" s="57">
        <f t="shared" si="4"/>
        <v>2.6874999999999998E-3</v>
      </c>
      <c r="N13" s="57">
        <f t="shared" si="4"/>
        <v>2.7906976744186047E-3</v>
      </c>
      <c r="O13" s="57">
        <f t="shared" si="4"/>
        <v>3.7000000000000002E-3</v>
      </c>
    </row>
    <row r="14" spans="1:16" x14ac:dyDescent="0.25">
      <c r="A14" t="s">
        <v>2511</v>
      </c>
      <c r="D14" s="57">
        <f>D$8/D5</f>
        <v>2.6554356204539106E-2</v>
      </c>
      <c r="E14" s="57">
        <f t="shared" ref="E14" si="5">E$8/E5</f>
        <v>8.1221719457013578E-2</v>
      </c>
      <c r="F14" s="57">
        <f t="shared" ref="F14:O14" si="6">F$8/F5</f>
        <v>5.5E-2</v>
      </c>
      <c r="G14" s="57">
        <f t="shared" si="6"/>
        <v>6.9387755102040816E-2</v>
      </c>
      <c r="H14" s="57">
        <f t="shared" si="6"/>
        <v>7.5308641975308649E-2</v>
      </c>
      <c r="I14" s="57">
        <f t="shared" si="6"/>
        <v>7.5999999999999998E-2</v>
      </c>
      <c r="J14" s="57">
        <f t="shared" si="6"/>
        <v>8.2142857142857142E-2</v>
      </c>
      <c r="K14" s="57">
        <f t="shared" si="6"/>
        <v>8.6440677966101692E-2</v>
      </c>
      <c r="L14" s="57">
        <f t="shared" si="6"/>
        <v>0.10857142857142857</v>
      </c>
      <c r="M14" s="57">
        <f t="shared" si="6"/>
        <v>7.5438596491228069E-2</v>
      </c>
      <c r="N14" s="57">
        <f t="shared" si="6"/>
        <v>8.5714285714285715E-2</v>
      </c>
      <c r="O14" s="57">
        <f t="shared" si="6"/>
        <v>0.12758620689655173</v>
      </c>
    </row>
    <row r="16" spans="1:16" x14ac:dyDescent="0.25">
      <c r="A16" t="s">
        <v>2490</v>
      </c>
      <c r="F16" s="57">
        <v>0.60599999999999998</v>
      </c>
      <c r="G16" s="57">
        <v>0.60599999999999998</v>
      </c>
      <c r="H16" t="s">
        <v>2494</v>
      </c>
      <c r="I16" t="s">
        <v>2494</v>
      </c>
      <c r="J16" t="s">
        <v>2494</v>
      </c>
      <c r="K16" t="s">
        <v>2494</v>
      </c>
      <c r="L16" t="s">
        <v>2494</v>
      </c>
      <c r="M16" s="57">
        <v>0.60599999999999998</v>
      </c>
      <c r="N16" s="57">
        <v>0.60599999999999998</v>
      </c>
      <c r="O16" s="57">
        <v>0.60599999999999998</v>
      </c>
      <c r="P16" t="s">
        <v>2493</v>
      </c>
    </row>
    <row r="17" spans="1:16" x14ac:dyDescent="0.25">
      <c r="A17" t="s">
        <v>2477</v>
      </c>
      <c r="F17" s="272">
        <f>F3*F16</f>
        <v>23028000</v>
      </c>
      <c r="G17" s="30">
        <v>20000000</v>
      </c>
      <c r="H17" s="30">
        <v>25000000</v>
      </c>
      <c r="I17" s="30">
        <v>18100827</v>
      </c>
      <c r="J17" s="30">
        <v>11049083</v>
      </c>
      <c r="K17" s="30">
        <v>18100827</v>
      </c>
      <c r="L17" s="30">
        <v>17166702</v>
      </c>
      <c r="M17" s="272">
        <f>M3*M16</f>
        <v>20604000</v>
      </c>
      <c r="N17" s="272">
        <f>N3*N16</f>
        <v>5635800</v>
      </c>
      <c r="O17" s="272">
        <f>O3*O16</f>
        <v>12726000</v>
      </c>
      <c r="P17" t="s">
        <v>2496</v>
      </c>
    </row>
    <row r="18" spans="1:16" x14ac:dyDescent="0.25">
      <c r="F18" s="275"/>
      <c r="G18" s="274"/>
      <c r="H18" s="274"/>
      <c r="I18" s="274"/>
      <c r="J18" s="274"/>
      <c r="K18" s="274"/>
      <c r="L18" s="274"/>
      <c r="M18" s="274"/>
      <c r="N18" s="274"/>
      <c r="O18" s="274"/>
    </row>
    <row r="19" spans="1:16" x14ac:dyDescent="0.25">
      <c r="A19" t="s">
        <v>2512</v>
      </c>
      <c r="F19" s="57">
        <f>F8/F17</f>
        <v>9.5535869376411323E-4</v>
      </c>
      <c r="G19" s="57">
        <f t="shared" ref="G19:O19" si="7">G8/G17</f>
        <v>1.6999999999999999E-3</v>
      </c>
      <c r="H19" s="57">
        <f t="shared" si="7"/>
        <v>2.4399999999999999E-3</v>
      </c>
      <c r="I19" s="57">
        <f t="shared" si="7"/>
        <v>2.099351593162014E-3</v>
      </c>
      <c r="J19" s="57">
        <f t="shared" si="7"/>
        <v>2.0816207100625454E-3</v>
      </c>
      <c r="K19" s="57">
        <f t="shared" si="7"/>
        <v>2.8175508224016505E-3</v>
      </c>
      <c r="L19" s="57">
        <f t="shared" si="7"/>
        <v>2.2135876768875E-3</v>
      </c>
      <c r="M19" s="57">
        <f t="shared" si="7"/>
        <v>2.0869734032226751E-3</v>
      </c>
      <c r="N19" s="57">
        <f t="shared" si="7"/>
        <v>2.1292451825827745E-3</v>
      </c>
      <c r="O19" s="57">
        <f t="shared" si="7"/>
        <v>2.9074336005029074E-3</v>
      </c>
    </row>
    <row r="20" spans="1:16" x14ac:dyDescent="0.25">
      <c r="F20" s="57"/>
      <c r="G20" s="57"/>
      <c r="H20" s="57"/>
      <c r="I20" s="57"/>
      <c r="J20" s="57"/>
      <c r="K20" s="57"/>
      <c r="L20" s="57"/>
      <c r="M20" s="57"/>
      <c r="N20" s="57"/>
      <c r="O20" s="57"/>
    </row>
    <row r="21" spans="1:16" x14ac:dyDescent="0.25">
      <c r="A21" t="s">
        <v>3498</v>
      </c>
      <c r="F21" s="271"/>
      <c r="G21" s="271"/>
      <c r="H21" s="271"/>
      <c r="I21" s="271"/>
      <c r="J21" s="271"/>
      <c r="K21" s="271"/>
      <c r="L21" s="271"/>
      <c r="M21" s="271"/>
      <c r="N21" s="271"/>
      <c r="O21" s="271"/>
    </row>
    <row r="22" spans="1:16" x14ac:dyDescent="0.25">
      <c r="A22" t="s">
        <v>3500</v>
      </c>
      <c r="B22" t="s">
        <v>3501</v>
      </c>
      <c r="C22" t="s">
        <v>3502</v>
      </c>
      <c r="D22" t="s">
        <v>548</v>
      </c>
      <c r="F22" s="273"/>
      <c r="G22" s="273"/>
      <c r="H22" s="271"/>
      <c r="I22" s="271"/>
      <c r="J22" s="271"/>
      <c r="K22" s="271"/>
      <c r="L22" s="271"/>
      <c r="M22" s="273"/>
      <c r="N22" s="273"/>
      <c r="O22" s="273"/>
    </row>
    <row r="23" spans="1:16" x14ac:dyDescent="0.25">
      <c r="A23" t="s">
        <v>2524</v>
      </c>
      <c r="B23" s="30">
        <v>659041</v>
      </c>
      <c r="C23" s="30">
        <f>B23/365</f>
        <v>1805.5917808219178</v>
      </c>
      <c r="D23" t="s">
        <v>3499</v>
      </c>
      <c r="F23" s="273"/>
      <c r="G23" s="251"/>
      <c r="H23" s="271"/>
      <c r="I23" s="271"/>
      <c r="J23" s="271"/>
      <c r="K23" s="271"/>
      <c r="L23" s="271"/>
      <c r="M23" s="273"/>
      <c r="N23" s="273"/>
      <c r="O23" s="273"/>
    </row>
    <row r="24" spans="1:16" x14ac:dyDescent="0.25">
      <c r="A24" t="s">
        <v>2523</v>
      </c>
      <c r="B24" s="30">
        <v>599601</v>
      </c>
      <c r="C24" s="30">
        <f t="shared" ref="C24:C33" si="8">B24/365</f>
        <v>1642.7424657534248</v>
      </c>
      <c r="D24" t="s">
        <v>3499</v>
      </c>
      <c r="F24" s="275"/>
      <c r="G24" s="274"/>
      <c r="H24" s="274"/>
      <c r="I24" s="274"/>
      <c r="J24" s="274"/>
      <c r="K24" s="274"/>
      <c r="L24" s="274"/>
      <c r="M24" s="274"/>
      <c r="N24" s="274"/>
      <c r="O24" s="274"/>
    </row>
    <row r="25" spans="1:16" x14ac:dyDescent="0.25">
      <c r="A25" t="s">
        <v>2525</v>
      </c>
      <c r="B25" s="30">
        <v>173040</v>
      </c>
      <c r="C25" s="30">
        <f t="shared" si="8"/>
        <v>474.08219178082192</v>
      </c>
      <c r="D25" t="s">
        <v>3499</v>
      </c>
    </row>
    <row r="26" spans="1:16" x14ac:dyDescent="0.25">
      <c r="A26" t="s">
        <v>2526</v>
      </c>
      <c r="B26" s="30">
        <v>156979</v>
      </c>
      <c r="C26" s="30">
        <f t="shared" si="8"/>
        <v>430.0794520547945</v>
      </c>
      <c r="D26" t="s">
        <v>3499</v>
      </c>
      <c r="F26" s="275"/>
      <c r="G26" s="275"/>
      <c r="H26" s="275"/>
      <c r="I26" s="275"/>
      <c r="J26" s="275"/>
      <c r="K26" s="275"/>
      <c r="L26" s="275"/>
      <c r="M26" s="275"/>
      <c r="N26" s="275"/>
      <c r="O26" s="275"/>
    </row>
    <row r="27" spans="1:16" x14ac:dyDescent="0.25">
      <c r="A27" t="s">
        <v>2527</v>
      </c>
      <c r="B27" s="30">
        <v>150005</v>
      </c>
      <c r="C27" s="30">
        <f t="shared" si="8"/>
        <v>410.97260273972603</v>
      </c>
      <c r="D27" t="s">
        <v>3499</v>
      </c>
      <c r="F27" s="275"/>
      <c r="G27" s="275"/>
      <c r="H27" s="275"/>
      <c r="I27" s="275"/>
      <c r="J27" s="275"/>
      <c r="K27" s="275"/>
      <c r="L27" s="275"/>
      <c r="M27" s="275"/>
      <c r="N27" s="275"/>
      <c r="O27" s="275"/>
    </row>
    <row r="28" spans="1:16" x14ac:dyDescent="0.25">
      <c r="A28" t="s">
        <v>2528</v>
      </c>
      <c r="B28" s="30">
        <v>121499</v>
      </c>
      <c r="C28" s="30">
        <f t="shared" si="8"/>
        <v>332.87397260273974</v>
      </c>
      <c r="D28" t="s">
        <v>3499</v>
      </c>
    </row>
    <row r="29" spans="1:16" x14ac:dyDescent="0.25">
      <c r="A29" t="s">
        <v>2529</v>
      </c>
      <c r="B29" s="30">
        <v>87647</v>
      </c>
      <c r="C29" s="30">
        <f t="shared" si="8"/>
        <v>240.12876712328767</v>
      </c>
      <c r="D29" t="s">
        <v>3499</v>
      </c>
      <c r="F29" s="251"/>
    </row>
    <row r="30" spans="1:16" x14ac:dyDescent="0.25">
      <c r="A30" t="s">
        <v>2530</v>
      </c>
      <c r="B30" s="30">
        <v>51565</v>
      </c>
      <c r="C30" s="30">
        <f t="shared" si="8"/>
        <v>141.27397260273972</v>
      </c>
      <c r="D30" t="s">
        <v>3499</v>
      </c>
    </row>
    <row r="31" spans="1:16" x14ac:dyDescent="0.25">
      <c r="A31" t="s">
        <v>2531</v>
      </c>
      <c r="B31" s="30">
        <v>49783</v>
      </c>
      <c r="C31" s="30">
        <f t="shared" si="8"/>
        <v>136.39178082191782</v>
      </c>
      <c r="D31" t="s">
        <v>3499</v>
      </c>
    </row>
    <row r="32" spans="1:16" x14ac:dyDescent="0.25">
      <c r="A32" t="s">
        <v>2532</v>
      </c>
      <c r="B32" s="30">
        <v>47511</v>
      </c>
      <c r="C32" s="30">
        <f t="shared" si="8"/>
        <v>130.16712328767125</v>
      </c>
      <c r="D32" t="s">
        <v>3499</v>
      </c>
      <c r="F32" s="251"/>
    </row>
    <row r="33" spans="1:6" x14ac:dyDescent="0.25">
      <c r="A33" t="s">
        <v>3497</v>
      </c>
      <c r="B33" s="30">
        <f>E8</f>
        <v>35900</v>
      </c>
      <c r="C33" s="30">
        <f t="shared" si="8"/>
        <v>98.356164383561648</v>
      </c>
      <c r="D33" t="s">
        <v>2486</v>
      </c>
      <c r="F33" s="251"/>
    </row>
    <row r="34" spans="1:6" x14ac:dyDescent="0.25">
      <c r="F34" s="251"/>
    </row>
    <row r="35" spans="1:6" x14ac:dyDescent="0.25">
      <c r="F35" s="251"/>
    </row>
    <row r="37" spans="1:6" x14ac:dyDescent="0.25">
      <c r="F37" s="251"/>
    </row>
    <row r="39" spans="1:6" x14ac:dyDescent="0.25">
      <c r="F39" s="251"/>
    </row>
    <row r="41" spans="1:6" x14ac:dyDescent="0.25">
      <c r="F41" s="251"/>
    </row>
    <row r="43" spans="1:6" x14ac:dyDescent="0.25">
      <c r="F43" s="251"/>
    </row>
    <row r="44" spans="1:6" x14ac:dyDescent="0.25">
      <c r="F44" s="251"/>
    </row>
  </sheetData>
  <pageMargins left="0.7" right="0.7" top="0.75" bottom="0.75" header="0.3" footer="0.3"/>
  <pageSetup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ADF82-A7A6-4516-9C71-30761CF16851}">
  <dimension ref="A2:L37"/>
  <sheetViews>
    <sheetView workbookViewId="0">
      <selection activeCell="B2" sqref="B2"/>
    </sheetView>
  </sheetViews>
  <sheetFormatPr defaultRowHeight="15" x14ac:dyDescent="0.25"/>
  <cols>
    <col min="1" max="1" width="36.5703125" bestFit="1" customWidth="1"/>
    <col min="2" max="2" width="18.28515625" bestFit="1" customWidth="1"/>
    <col min="3" max="9" width="10.140625" bestFit="1" customWidth="1"/>
    <col min="11" max="11" width="10.140625" bestFit="1" customWidth="1"/>
  </cols>
  <sheetData>
    <row r="2" spans="1:12" x14ac:dyDescent="0.25">
      <c r="A2" t="s">
        <v>2471</v>
      </c>
      <c r="B2" t="s">
        <v>2481</v>
      </c>
      <c r="C2" t="s">
        <v>2472</v>
      </c>
      <c r="D2" t="s">
        <v>2473</v>
      </c>
      <c r="E2" t="s">
        <v>2473</v>
      </c>
      <c r="F2" t="s">
        <v>2474</v>
      </c>
      <c r="G2" t="s">
        <v>2475</v>
      </c>
      <c r="H2" t="s">
        <v>2476</v>
      </c>
      <c r="I2" t="s">
        <v>2482</v>
      </c>
      <c r="J2" t="s">
        <v>2483</v>
      </c>
      <c r="K2" t="s">
        <v>2484</v>
      </c>
      <c r="L2" t="s">
        <v>388</v>
      </c>
    </row>
    <row r="3" spans="1:12" x14ac:dyDescent="0.25">
      <c r="A3" t="s">
        <v>2485</v>
      </c>
      <c r="B3" s="30">
        <v>38000000</v>
      </c>
      <c r="C3" s="30">
        <v>36000000</v>
      </c>
      <c r="D3" s="30">
        <v>45000000</v>
      </c>
      <c r="E3" s="30">
        <v>29000000</v>
      </c>
      <c r="F3" s="30">
        <v>24000000</v>
      </c>
      <c r="G3" s="30">
        <v>30000000</v>
      </c>
      <c r="H3" s="30">
        <v>30000000</v>
      </c>
      <c r="I3" s="30">
        <v>34000000</v>
      </c>
      <c r="J3" s="30">
        <v>9300000</v>
      </c>
      <c r="K3" s="30">
        <v>21000000</v>
      </c>
      <c r="L3" t="s">
        <v>2486</v>
      </c>
    </row>
    <row r="4" spans="1:12" x14ac:dyDescent="0.25">
      <c r="A4" t="s">
        <v>2487</v>
      </c>
      <c r="B4" s="30">
        <v>18000000</v>
      </c>
      <c r="C4" s="30">
        <v>17000000</v>
      </c>
      <c r="D4" s="30">
        <v>21000000</v>
      </c>
      <c r="E4" s="30">
        <v>14000000</v>
      </c>
      <c r="F4" s="30">
        <v>11000000</v>
      </c>
      <c r="G4" s="30">
        <v>14000000</v>
      </c>
      <c r="H4" s="30">
        <v>13000000</v>
      </c>
      <c r="I4" s="30">
        <v>16000000</v>
      </c>
      <c r="J4" s="30">
        <v>4300000</v>
      </c>
      <c r="K4" s="30">
        <v>10000000</v>
      </c>
      <c r="L4" t="s">
        <v>2486</v>
      </c>
    </row>
    <row r="5" spans="1:12" x14ac:dyDescent="0.25">
      <c r="A5" t="s">
        <v>2488</v>
      </c>
      <c r="B5" s="30">
        <v>400000</v>
      </c>
      <c r="C5" s="30">
        <v>490000</v>
      </c>
      <c r="D5" s="30">
        <v>810000</v>
      </c>
      <c r="E5" s="30">
        <v>500000</v>
      </c>
      <c r="F5" s="30">
        <v>280000</v>
      </c>
      <c r="G5" s="30">
        <v>590000</v>
      </c>
      <c r="H5" s="30">
        <v>350000</v>
      </c>
      <c r="I5" s="30">
        <v>570000</v>
      </c>
      <c r="J5" s="30">
        <v>140000</v>
      </c>
      <c r="K5" s="30">
        <v>290000</v>
      </c>
      <c r="L5" t="s">
        <v>2486</v>
      </c>
    </row>
    <row r="6" spans="1:12" x14ac:dyDescent="0.25">
      <c r="A6" t="s">
        <v>2489</v>
      </c>
      <c r="B6" s="30">
        <v>22000</v>
      </c>
      <c r="C6" s="30">
        <v>34000</v>
      </c>
      <c r="D6" s="30">
        <v>61000</v>
      </c>
      <c r="E6" s="30">
        <v>38000</v>
      </c>
      <c r="F6" s="30">
        <v>23000</v>
      </c>
      <c r="G6" s="30">
        <v>51000</v>
      </c>
      <c r="H6" s="30">
        <v>38000</v>
      </c>
      <c r="I6" s="30">
        <v>43000</v>
      </c>
      <c r="J6" s="30">
        <v>12000</v>
      </c>
      <c r="K6" s="30">
        <v>37000</v>
      </c>
      <c r="L6" t="s">
        <v>2486</v>
      </c>
    </row>
    <row r="7" spans="1:12" x14ac:dyDescent="0.25">
      <c r="A7" t="s">
        <v>2490</v>
      </c>
      <c r="B7" s="57">
        <v>0.60599999999999998</v>
      </c>
      <c r="C7" s="57">
        <v>0.60599999999999998</v>
      </c>
      <c r="D7" t="s">
        <v>2494</v>
      </c>
      <c r="E7" t="s">
        <v>2494</v>
      </c>
      <c r="F7" t="s">
        <v>2494</v>
      </c>
      <c r="G7" t="s">
        <v>2494</v>
      </c>
      <c r="H7" t="s">
        <v>2494</v>
      </c>
      <c r="I7" s="57">
        <v>0.60599999999999998</v>
      </c>
      <c r="J7" s="57">
        <v>0.60599999999999998</v>
      </c>
      <c r="K7" s="57">
        <v>0.60599999999999998</v>
      </c>
      <c r="L7" t="s">
        <v>2493</v>
      </c>
    </row>
    <row r="8" spans="1:12" x14ac:dyDescent="0.25">
      <c r="A8" t="s">
        <v>2477</v>
      </c>
      <c r="B8" s="272">
        <f>B3*B7</f>
        <v>23028000</v>
      </c>
      <c r="C8" s="30">
        <v>20000000</v>
      </c>
      <c r="D8" s="30">
        <v>25000000</v>
      </c>
      <c r="E8" s="30">
        <v>18100827</v>
      </c>
      <c r="F8" s="30">
        <v>11049083</v>
      </c>
      <c r="G8" s="30">
        <v>18100827</v>
      </c>
      <c r="H8" s="30">
        <v>17166702</v>
      </c>
      <c r="I8" s="272">
        <f t="shared" ref="I8:K8" si="0">I3*I7</f>
        <v>20604000</v>
      </c>
      <c r="J8" s="272">
        <f t="shared" si="0"/>
        <v>5635800</v>
      </c>
      <c r="K8" s="272">
        <f t="shared" si="0"/>
        <v>12726000</v>
      </c>
      <c r="L8" t="s">
        <v>2496</v>
      </c>
    </row>
    <row r="10" spans="1:12" x14ac:dyDescent="0.25">
      <c r="A10" t="s">
        <v>2495</v>
      </c>
      <c r="B10" s="275">
        <f>B5*17000/1000000000</f>
        <v>6.8</v>
      </c>
      <c r="C10" s="275">
        <f t="shared" ref="C10:K10" si="1">C5*17000/1000000000</f>
        <v>8.33</v>
      </c>
      <c r="D10" s="275">
        <f t="shared" si="1"/>
        <v>13.77</v>
      </c>
      <c r="E10" s="275">
        <f t="shared" si="1"/>
        <v>8.5</v>
      </c>
      <c r="F10" s="275">
        <f t="shared" si="1"/>
        <v>4.76</v>
      </c>
      <c r="G10" s="275">
        <f t="shared" si="1"/>
        <v>10.029999999999999</v>
      </c>
      <c r="H10" s="275">
        <f t="shared" si="1"/>
        <v>5.95</v>
      </c>
      <c r="I10" s="275">
        <f t="shared" si="1"/>
        <v>9.69</v>
      </c>
      <c r="J10" s="275">
        <f t="shared" si="1"/>
        <v>2.38</v>
      </c>
      <c r="K10" s="275">
        <f t="shared" si="1"/>
        <v>4.93</v>
      </c>
      <c r="L10" t="s">
        <v>2491</v>
      </c>
    </row>
    <row r="11" spans="1:12" x14ac:dyDescent="0.25">
      <c r="A11" t="s">
        <v>2489</v>
      </c>
      <c r="B11" s="275">
        <f>B6*7000000/1000000000</f>
        <v>154</v>
      </c>
      <c r="C11" s="275">
        <f t="shared" ref="C11:K11" si="2">C6*7000000/1000000000</f>
        <v>238</v>
      </c>
      <c r="D11" s="275">
        <f t="shared" si="2"/>
        <v>427</v>
      </c>
      <c r="E11" s="275">
        <f t="shared" si="2"/>
        <v>266</v>
      </c>
      <c r="F11" s="275">
        <f t="shared" si="2"/>
        <v>161</v>
      </c>
      <c r="G11" s="275">
        <f t="shared" si="2"/>
        <v>357</v>
      </c>
      <c r="H11" s="275">
        <f t="shared" si="2"/>
        <v>266</v>
      </c>
      <c r="I11" s="275">
        <f t="shared" si="2"/>
        <v>301</v>
      </c>
      <c r="J11" s="275">
        <f t="shared" si="2"/>
        <v>84</v>
      </c>
      <c r="K11" s="275">
        <f t="shared" si="2"/>
        <v>259</v>
      </c>
      <c r="L11" t="s">
        <v>2453</v>
      </c>
    </row>
    <row r="12" spans="1:12" x14ac:dyDescent="0.25">
      <c r="A12" t="s">
        <v>2497</v>
      </c>
      <c r="B12" s="275">
        <f>SUM(B10:K11)</f>
        <v>2588.14</v>
      </c>
      <c r="C12" s="274"/>
      <c r="D12" s="274"/>
      <c r="E12" s="274"/>
      <c r="F12" s="274"/>
      <c r="G12" s="274"/>
      <c r="H12" s="274"/>
      <c r="I12" s="274"/>
      <c r="J12" s="274"/>
      <c r="K12" s="274"/>
      <c r="L12" t="s">
        <v>2500</v>
      </c>
    </row>
    <row r="14" spans="1:12" x14ac:dyDescent="0.25">
      <c r="A14" t="s">
        <v>2478</v>
      </c>
      <c r="B14" s="271">
        <v>28</v>
      </c>
      <c r="C14" s="271">
        <v>27.48</v>
      </c>
      <c r="D14" s="271">
        <v>26.74</v>
      </c>
      <c r="E14" s="271">
        <v>26.63</v>
      </c>
      <c r="F14" s="271">
        <v>26.63</v>
      </c>
      <c r="G14" s="271">
        <v>25.26</v>
      </c>
      <c r="H14" s="271">
        <v>24.19</v>
      </c>
      <c r="I14" s="271">
        <v>24</v>
      </c>
      <c r="J14" s="271">
        <v>24</v>
      </c>
      <c r="K14" s="271">
        <v>24</v>
      </c>
      <c r="L14" t="s">
        <v>2496</v>
      </c>
    </row>
    <row r="15" spans="1:12" x14ac:dyDescent="0.25">
      <c r="A15" t="s">
        <v>2479</v>
      </c>
      <c r="B15" s="273">
        <f>B14*8*4</f>
        <v>896</v>
      </c>
      <c r="C15" s="273">
        <f>C14*8*4</f>
        <v>879.36</v>
      </c>
      <c r="D15" s="271">
        <v>855.68</v>
      </c>
      <c r="E15" s="271">
        <v>852.16</v>
      </c>
      <c r="F15" s="271">
        <v>852.16</v>
      </c>
      <c r="G15" s="271">
        <v>808.32</v>
      </c>
      <c r="H15" s="271">
        <v>774.08</v>
      </c>
      <c r="I15" s="273">
        <f t="shared" ref="I15:K15" si="3">I14*8*4</f>
        <v>768</v>
      </c>
      <c r="J15" s="273">
        <f t="shared" si="3"/>
        <v>768</v>
      </c>
      <c r="K15" s="273">
        <f t="shared" si="3"/>
        <v>768</v>
      </c>
      <c r="L15" t="s">
        <v>2496</v>
      </c>
    </row>
    <row r="16" spans="1:12" x14ac:dyDescent="0.25">
      <c r="A16" t="s">
        <v>2480</v>
      </c>
      <c r="B16" s="273">
        <f>B8*B15/1000000000</f>
        <v>20.633088000000001</v>
      </c>
      <c r="C16" s="251">
        <v>18</v>
      </c>
      <c r="D16" s="271">
        <v>21.39</v>
      </c>
      <c r="E16" s="271">
        <v>15.4</v>
      </c>
      <c r="F16" s="271">
        <v>9.4</v>
      </c>
      <c r="G16" s="271">
        <v>14.6</v>
      </c>
      <c r="H16" s="271">
        <v>13.3</v>
      </c>
      <c r="I16" s="273">
        <f t="shared" ref="I16:K16" si="4">I8*I15/1000000000</f>
        <v>15.823872</v>
      </c>
      <c r="J16" s="273">
        <f t="shared" si="4"/>
        <v>4.3282943999999999</v>
      </c>
      <c r="K16" s="273">
        <f t="shared" si="4"/>
        <v>9.7735679999999991</v>
      </c>
      <c r="L16" t="s">
        <v>2496</v>
      </c>
    </row>
    <row r="17" spans="1:12" x14ac:dyDescent="0.25">
      <c r="A17" t="s">
        <v>2497</v>
      </c>
      <c r="B17" s="275">
        <f>SUM(B16:K16)</f>
        <v>142.64882240000003</v>
      </c>
      <c r="C17" s="274"/>
      <c r="D17" s="274"/>
      <c r="E17" s="274"/>
      <c r="F17" s="274"/>
      <c r="G17" s="274"/>
      <c r="H17" s="274"/>
      <c r="I17" s="274"/>
      <c r="J17" s="274"/>
      <c r="K17" s="274"/>
      <c r="L17" t="s">
        <v>2500</v>
      </c>
    </row>
    <row r="19" spans="1:12" x14ac:dyDescent="0.25">
      <c r="A19" t="s">
        <v>2492</v>
      </c>
      <c r="B19" s="275">
        <f>B16+B11+B10</f>
        <v>181.433088</v>
      </c>
      <c r="C19" s="275">
        <f t="shared" ref="C19:K19" si="5">C16+C11+C10</f>
        <v>264.33</v>
      </c>
      <c r="D19" s="275">
        <f t="shared" si="5"/>
        <v>462.15999999999997</v>
      </c>
      <c r="E19" s="275">
        <f t="shared" si="5"/>
        <v>289.89999999999998</v>
      </c>
      <c r="F19" s="275">
        <f t="shared" si="5"/>
        <v>175.16</v>
      </c>
      <c r="G19" s="275">
        <f t="shared" si="5"/>
        <v>381.63</v>
      </c>
      <c r="H19" s="275">
        <f t="shared" si="5"/>
        <v>285.25</v>
      </c>
      <c r="I19" s="275">
        <f t="shared" si="5"/>
        <v>326.51387199999999</v>
      </c>
      <c r="J19" s="275">
        <f t="shared" si="5"/>
        <v>90.7082944</v>
      </c>
      <c r="K19" s="275">
        <f t="shared" si="5"/>
        <v>273.70356800000002</v>
      </c>
    </row>
    <row r="20" spans="1:12" x14ac:dyDescent="0.25">
      <c r="A20" t="s">
        <v>2497</v>
      </c>
      <c r="B20" s="275">
        <f>SUM(B18:K19)</f>
        <v>2730.7888223999998</v>
      </c>
      <c r="C20" s="275"/>
      <c r="D20" s="275"/>
      <c r="E20" s="275"/>
      <c r="F20" s="275"/>
      <c r="G20" s="275"/>
      <c r="H20" s="275"/>
      <c r="I20" s="275"/>
      <c r="J20" s="275"/>
      <c r="K20" s="275"/>
      <c r="L20" t="s">
        <v>2500</v>
      </c>
    </row>
    <row r="22" spans="1:12" x14ac:dyDescent="0.25">
      <c r="A22" t="s">
        <v>2498</v>
      </c>
      <c r="B22" s="251">
        <v>150</v>
      </c>
      <c r="L22" t="s">
        <v>2499</v>
      </c>
    </row>
    <row r="24" spans="1:12" x14ac:dyDescent="0.25">
      <c r="A24" t="str">
        <f>'Arch Trade'!I21</f>
        <v>UV Space</v>
      </c>
    </row>
    <row r="25" spans="1:12" x14ac:dyDescent="0.25">
      <c r="A25" t="str">
        <f>'Arch Trade'!I22</f>
        <v>Schools</v>
      </c>
      <c r="B25" s="251">
        <f>'Arch Trade'!L22</f>
        <v>2996470588</v>
      </c>
      <c r="L25" t="str">
        <f>'Arch Trade'!M22</f>
        <v>Public and private</v>
      </c>
    </row>
    <row r="26" spans="1:12" x14ac:dyDescent="0.25">
      <c r="A26" t="str">
        <f>'Arch Trade'!I23</f>
        <v>Commercial Office Space</v>
      </c>
      <c r="B26" s="251">
        <f>'Arch Trade'!L23</f>
        <v>7058823529</v>
      </c>
      <c r="L26" t="str">
        <f>'Arch Trade'!M23</f>
        <v>Manhattan skyscrapers to lawyer's office</v>
      </c>
    </row>
    <row r="27" spans="1:12" x14ac:dyDescent="0.25">
      <c r="A27" t="str">
        <f>'Arch Trade'!I24</f>
        <v>Retail</v>
      </c>
      <c r="B27" s="251">
        <f>'Arch Trade'!L24</f>
        <v>16764705882</v>
      </c>
      <c r="L27" t="str">
        <f>'Arch Trade'!M24</f>
        <v>Indoor &amp; strip malls, big box retailers, grocery stores, restaurants, shopping center space</v>
      </c>
    </row>
    <row r="28" spans="1:12" x14ac:dyDescent="0.25">
      <c r="A28" t="str">
        <f>'Arch Trade'!I25</f>
        <v>Industrial property</v>
      </c>
      <c r="B28" s="251">
        <f>'Arch Trade'!L25</f>
        <v>22941176471</v>
      </c>
      <c r="L28" t="str">
        <f>'Arch Trade'!M25</f>
        <v>Manufacture, distribute, warehouse</v>
      </c>
    </row>
    <row r="30" spans="1:12" x14ac:dyDescent="0.25">
      <c r="A30" t="str">
        <f>'Arch Trade'!I28</f>
        <v>HVAC Upgrades</v>
      </c>
      <c r="B30" s="251">
        <f>'Arch Trade'!L28</f>
        <v>100000000000</v>
      </c>
      <c r="L30" t="s">
        <v>2501</v>
      </c>
    </row>
    <row r="32" spans="1:12" x14ac:dyDescent="0.25">
      <c r="A32" t="s">
        <v>1942</v>
      </c>
      <c r="B32" s="251">
        <f>SUM(B25:B30)</f>
        <v>149761176470</v>
      </c>
    </row>
    <row r="34" spans="1:12" x14ac:dyDescent="0.25">
      <c r="A34" t="str">
        <f>Schools!A24</f>
        <v>Cost to Retrofit All Schools</v>
      </c>
      <c r="B34" s="251">
        <f>Schools!B24</f>
        <v>107129337539.43219</v>
      </c>
      <c r="L34" t="s">
        <v>2502</v>
      </c>
    </row>
    <row r="36" spans="1:12" x14ac:dyDescent="0.25">
      <c r="A36" t="s">
        <v>2503</v>
      </c>
      <c r="B36" s="251">
        <f>B32-B26-B27*0.5</f>
        <v>134320000000</v>
      </c>
      <c r="L36" t="s">
        <v>2505</v>
      </c>
    </row>
    <row r="37" spans="1:12" x14ac:dyDescent="0.25">
      <c r="A37" t="s">
        <v>2504</v>
      </c>
      <c r="B37" s="251">
        <f>B32-B26-B27*0.5-B28*0.5</f>
        <v>122849411764.5</v>
      </c>
      <c r="L37" t="s">
        <v>2506</v>
      </c>
    </row>
  </sheetData>
  <pageMargins left="0.7" right="0.7" top="0.75" bottom="0.75" header="0.3" footer="0.3"/>
  <pageSetup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23A9D-4E49-4DB8-A514-2E075EF85761}">
  <dimension ref="A1:Q347"/>
  <sheetViews>
    <sheetView workbookViewId="0"/>
  </sheetViews>
  <sheetFormatPr defaultRowHeight="15" x14ac:dyDescent="0.25"/>
  <cols>
    <col min="1" max="1" width="9.140625" style="33"/>
    <col min="2" max="2" width="38.7109375" bestFit="1" customWidth="1"/>
    <col min="3" max="3" width="6.7109375" style="31" customWidth="1"/>
    <col min="4" max="8" width="6.7109375" customWidth="1"/>
    <col min="9" max="9" width="14.7109375" customWidth="1"/>
    <col min="10" max="11" width="6.7109375" customWidth="1"/>
    <col min="13" max="16" width="6.7109375" customWidth="1"/>
    <col min="17" max="17" width="17" customWidth="1"/>
  </cols>
  <sheetData>
    <row r="1" spans="1:17" x14ac:dyDescent="0.25">
      <c r="F1" s="31" t="s">
        <v>3410</v>
      </c>
    </row>
    <row r="2" spans="1:17" x14ac:dyDescent="0.25">
      <c r="F2" s="31" t="s">
        <v>3418</v>
      </c>
    </row>
    <row r="3" spans="1:17" x14ac:dyDescent="0.25">
      <c r="A3" s="43">
        <v>1</v>
      </c>
      <c r="C3"/>
      <c r="D3" s="31"/>
      <c r="E3" s="31"/>
      <c r="F3" s="31" t="s">
        <v>3419</v>
      </c>
      <c r="G3" s="31"/>
      <c r="H3" s="31"/>
    </row>
    <row r="4" spans="1:17" s="2" customFormat="1" ht="45" x14ac:dyDescent="0.25">
      <c r="A4" s="295">
        <v>2</v>
      </c>
      <c r="B4" s="2" t="s">
        <v>544</v>
      </c>
      <c r="C4" s="2" t="s">
        <v>545</v>
      </c>
      <c r="D4" s="2" t="s">
        <v>546</v>
      </c>
      <c r="E4" s="2" t="s">
        <v>3412</v>
      </c>
      <c r="F4" s="2" t="s">
        <v>3413</v>
      </c>
      <c r="G4" s="2" t="s">
        <v>3414</v>
      </c>
      <c r="H4" s="2" t="s">
        <v>3415</v>
      </c>
      <c r="I4" s="2" t="s">
        <v>548</v>
      </c>
      <c r="J4" s="2" t="s">
        <v>3416</v>
      </c>
      <c r="K4" s="2" t="s">
        <v>3417</v>
      </c>
      <c r="M4" s="2" t="s">
        <v>835</v>
      </c>
      <c r="N4" s="2" t="s">
        <v>3412</v>
      </c>
      <c r="O4" s="2" t="s">
        <v>3414</v>
      </c>
      <c r="P4" s="2" t="s">
        <v>3415</v>
      </c>
      <c r="Q4" s="2" t="s">
        <v>548</v>
      </c>
    </row>
    <row r="5" spans="1:17" x14ac:dyDescent="0.25">
      <c r="A5" s="43">
        <v>3</v>
      </c>
      <c r="B5" t="s">
        <v>549</v>
      </c>
      <c r="C5" s="31">
        <f t="shared" ref="C5:C40" si="0">60/J5</f>
        <v>6</v>
      </c>
      <c r="D5" s="31">
        <f t="shared" ref="D5:D40" si="1">60/K5</f>
        <v>20</v>
      </c>
      <c r="E5" s="31">
        <f t="shared" ref="E5:E40" si="2">AVERAGE(C5:C5)</f>
        <v>6</v>
      </c>
      <c r="F5">
        <f t="shared" ref="F5" si="3">IF(COUNT(C5)=1, IF(C5&gt;120,6,IF(C5&gt;50,5,IF(C5&gt;24,4,IF(C5&gt;10,3,IF(C5&gt;4,2,IF(C5&gt;1,1,0)))))), "")</f>
        <v>2</v>
      </c>
      <c r="G5">
        <f t="shared" ref="G5" si="4">IF(COUNT(D5)=1, IF(D5&gt;120,6,IF(D5&gt;50,5,IF(D5&gt;24,4,IF(D5&gt;10,3,IF(D5&gt;4,2,IF(D5&gt;1,1,0)))))), "")</f>
        <v>3</v>
      </c>
      <c r="H5">
        <f t="shared" ref="H5" si="5">IF(COUNT(E5)=1, IF(E5&gt;120,6,IF(E5&gt;50,5,IF(E5&gt;24,4,IF(E5&gt;10,3,IF(E5&gt;4,2,IF(E5&gt;1,1,0)))))), "")</f>
        <v>2</v>
      </c>
      <c r="I5" t="s">
        <v>3659</v>
      </c>
      <c r="J5">
        <v>10</v>
      </c>
      <c r="K5" s="31">
        <v>3</v>
      </c>
      <c r="M5" s="31">
        <f>D42</f>
        <v>60</v>
      </c>
      <c r="N5" s="31">
        <f>E44</f>
        <v>10.812830687830688</v>
      </c>
      <c r="O5">
        <f>IF(M5&gt;120,6,IF(M5&gt;50,5,IF(M5&gt;24,4,IF(M5&gt;10,3,IF(M5&gt;4,2,IF(M5&gt;1,1,0))))))</f>
        <v>5</v>
      </c>
      <c r="P5">
        <f>IF(N5&gt;120,6,IF(N5&gt;50,5,IF(N5&gt;24,4,IF(N5&gt;10,3,IF(N5&gt;4,2,IF(N5&gt;1,1,0))))))</f>
        <v>3</v>
      </c>
      <c r="Q5" t="str">
        <f>I42</f>
        <v>Greenheck</v>
      </c>
    </row>
    <row r="6" spans="1:17" x14ac:dyDescent="0.25">
      <c r="A6" s="43">
        <v>4</v>
      </c>
      <c r="B6" t="s">
        <v>550</v>
      </c>
      <c r="C6" s="31">
        <f t="shared" si="0"/>
        <v>15</v>
      </c>
      <c r="D6" s="31">
        <f t="shared" si="1"/>
        <v>30</v>
      </c>
      <c r="E6" s="31">
        <f t="shared" si="2"/>
        <v>15</v>
      </c>
      <c r="F6">
        <f t="shared" ref="F6:F69" si="6">IF(COUNT(C6)=1, IF(C6&gt;120,6,IF(C6&gt;50,5,IF(C6&gt;24,4,IF(C6&gt;10,3,IF(C6&gt;4,2,IF(C6&gt;1,1,0)))))), "")</f>
        <v>3</v>
      </c>
      <c r="G6">
        <f t="shared" ref="G6:G69" si="7">IF(COUNT(D6)=1, IF(D6&gt;120,6,IF(D6&gt;50,5,IF(D6&gt;24,4,IF(D6&gt;10,3,IF(D6&gt;4,2,IF(D6&gt;1,1,0)))))), "")</f>
        <v>4</v>
      </c>
      <c r="H6">
        <f t="shared" ref="H6:H69" si="8">IF(COUNT(E6)=1, IF(E6&gt;120,6,IF(E6&gt;50,5,IF(E6&gt;24,4,IF(E6&gt;10,3,IF(E6&gt;4,2,IF(E6&gt;1,1,0)))))), "")</f>
        <v>3</v>
      </c>
      <c r="I6" t="s">
        <v>3659</v>
      </c>
      <c r="J6">
        <v>4</v>
      </c>
      <c r="K6" s="31">
        <v>2</v>
      </c>
      <c r="M6" s="31">
        <f>D74</f>
        <v>20</v>
      </c>
      <c r="N6" s="31">
        <f>E76</f>
        <v>8.615384615384615</v>
      </c>
      <c r="O6">
        <f t="shared" ref="O6:O10" si="9">IF(M6&gt;120,6,IF(M6&gt;50,5,IF(M6&gt;24,4,IF(M6&gt;10,3,IF(M6&gt;4,2,IF(M6&gt;1,1,0))))))</f>
        <v>3</v>
      </c>
      <c r="P6">
        <f t="shared" ref="P6:P11" si="10">IF(N6&gt;120,6,IF(N6&gt;50,5,IF(N6&gt;24,4,IF(N6&gt;10,3,IF(N6&gt;4,2,IF(N6&gt;1,1,0))))))</f>
        <v>2</v>
      </c>
      <c r="Q6" t="str">
        <f>I74</f>
        <v>NCI</v>
      </c>
    </row>
    <row r="7" spans="1:17" x14ac:dyDescent="0.25">
      <c r="A7" s="43">
        <v>5</v>
      </c>
      <c r="B7" t="s">
        <v>551</v>
      </c>
      <c r="C7" s="31">
        <f t="shared" si="0"/>
        <v>6</v>
      </c>
      <c r="D7" s="31">
        <f t="shared" si="1"/>
        <v>20</v>
      </c>
      <c r="E7" s="31">
        <f t="shared" si="2"/>
        <v>6</v>
      </c>
      <c r="F7">
        <f t="shared" si="6"/>
        <v>2</v>
      </c>
      <c r="G7">
        <f t="shared" si="7"/>
        <v>3</v>
      </c>
      <c r="H7">
        <f t="shared" si="8"/>
        <v>2</v>
      </c>
      <c r="I7" t="s">
        <v>3659</v>
      </c>
      <c r="J7">
        <v>10</v>
      </c>
      <c r="K7" s="31">
        <v>3</v>
      </c>
      <c r="M7" s="31">
        <f>D99</f>
        <v>30</v>
      </c>
      <c r="N7" s="31">
        <f>E101</f>
        <v>7.6</v>
      </c>
      <c r="O7">
        <f t="shared" si="9"/>
        <v>4</v>
      </c>
      <c r="P7">
        <f t="shared" si="10"/>
        <v>2</v>
      </c>
      <c r="Q7" t="str">
        <f>I99</f>
        <v>Fan App</v>
      </c>
    </row>
    <row r="8" spans="1:17" x14ac:dyDescent="0.25">
      <c r="A8" s="43">
        <v>6</v>
      </c>
      <c r="B8" t="s">
        <v>552</v>
      </c>
      <c r="C8" s="31">
        <f t="shared" si="0"/>
        <v>20</v>
      </c>
      <c r="D8" s="31">
        <f t="shared" si="1"/>
        <v>30</v>
      </c>
      <c r="E8" s="31">
        <f t="shared" si="2"/>
        <v>20</v>
      </c>
      <c r="F8">
        <f t="shared" si="6"/>
        <v>3</v>
      </c>
      <c r="G8">
        <f t="shared" si="7"/>
        <v>4</v>
      </c>
      <c r="H8">
        <f t="shared" si="8"/>
        <v>3</v>
      </c>
      <c r="I8" t="s">
        <v>3659</v>
      </c>
      <c r="J8">
        <v>3</v>
      </c>
      <c r="K8" s="31">
        <v>2</v>
      </c>
      <c r="M8" s="31">
        <f>D217</f>
        <v>50</v>
      </c>
      <c r="N8" s="31">
        <f>E219</f>
        <v>10.743362831858407</v>
      </c>
      <c r="O8">
        <f t="shared" si="9"/>
        <v>4</v>
      </c>
      <c r="P8">
        <f t="shared" si="10"/>
        <v>3</v>
      </c>
      <c r="Q8" t="str">
        <f>I217</f>
        <v>EPA / Various</v>
      </c>
    </row>
    <row r="9" spans="1:17" x14ac:dyDescent="0.25">
      <c r="A9" s="43">
        <v>7</v>
      </c>
      <c r="B9" t="s">
        <v>553</v>
      </c>
      <c r="C9" s="31">
        <f t="shared" si="0"/>
        <v>15</v>
      </c>
      <c r="D9" s="31">
        <f t="shared" si="1"/>
        <v>30</v>
      </c>
      <c r="E9" s="31">
        <f t="shared" si="2"/>
        <v>15</v>
      </c>
      <c r="F9">
        <f t="shared" si="6"/>
        <v>3</v>
      </c>
      <c r="G9">
        <f t="shared" si="7"/>
        <v>4</v>
      </c>
      <c r="H9">
        <f t="shared" si="8"/>
        <v>3</v>
      </c>
      <c r="I9" t="s">
        <v>3659</v>
      </c>
      <c r="J9">
        <v>4</v>
      </c>
      <c r="K9" s="31">
        <v>2</v>
      </c>
      <c r="M9" s="31">
        <f>D242</f>
        <v>60</v>
      </c>
      <c r="N9" s="31">
        <f>E244</f>
        <v>9.25</v>
      </c>
      <c r="O9">
        <f t="shared" si="9"/>
        <v>5</v>
      </c>
      <c r="P9">
        <f t="shared" si="10"/>
        <v>2</v>
      </c>
      <c r="Q9" t="str">
        <f>I242</f>
        <v>Eng Tool Box</v>
      </c>
    </row>
    <row r="10" spans="1:17" x14ac:dyDescent="0.25">
      <c r="A10" s="43">
        <v>8</v>
      </c>
      <c r="B10" t="s">
        <v>554</v>
      </c>
      <c r="C10" s="31">
        <f t="shared" si="0"/>
        <v>3.3333333333333335</v>
      </c>
      <c r="D10" s="31">
        <f t="shared" si="1"/>
        <v>5</v>
      </c>
      <c r="E10" s="31">
        <f t="shared" si="2"/>
        <v>3.3333333333333335</v>
      </c>
      <c r="F10">
        <f t="shared" si="6"/>
        <v>1</v>
      </c>
      <c r="G10">
        <f t="shared" si="7"/>
        <v>2</v>
      </c>
      <c r="H10">
        <f t="shared" si="8"/>
        <v>1</v>
      </c>
      <c r="I10" t="s">
        <v>3659</v>
      </c>
      <c r="J10">
        <v>18</v>
      </c>
      <c r="K10" s="31">
        <v>12</v>
      </c>
      <c r="M10" s="31">
        <f>D272</f>
        <v>30</v>
      </c>
      <c r="N10" s="31">
        <f>E274</f>
        <v>8.24</v>
      </c>
      <c r="O10">
        <f t="shared" si="9"/>
        <v>4</v>
      </c>
      <c r="P10">
        <f t="shared" si="10"/>
        <v>2</v>
      </c>
      <c r="Q10" t="str">
        <f>I272</f>
        <v>wiki</v>
      </c>
    </row>
    <row r="11" spans="1:17" x14ac:dyDescent="0.25">
      <c r="A11" s="43">
        <v>9</v>
      </c>
      <c r="B11" t="s">
        <v>555</v>
      </c>
      <c r="C11" s="31">
        <f t="shared" si="0"/>
        <v>20</v>
      </c>
      <c r="D11" s="31">
        <f t="shared" si="1"/>
        <v>60</v>
      </c>
      <c r="E11" s="31">
        <f t="shared" si="2"/>
        <v>20</v>
      </c>
      <c r="F11">
        <f t="shared" si="6"/>
        <v>3</v>
      </c>
      <c r="G11">
        <f t="shared" si="7"/>
        <v>5</v>
      </c>
      <c r="H11">
        <f t="shared" si="8"/>
        <v>3</v>
      </c>
      <c r="I11" t="s">
        <v>3659</v>
      </c>
      <c r="J11">
        <v>3</v>
      </c>
      <c r="K11" s="31">
        <v>1</v>
      </c>
      <c r="M11" s="45" t="s">
        <v>836</v>
      </c>
      <c r="N11" s="31">
        <f>C339</f>
        <v>8.25</v>
      </c>
      <c r="P11">
        <f t="shared" si="10"/>
        <v>2</v>
      </c>
      <c r="Q11" t="str">
        <f>I337</f>
        <v>CDC</v>
      </c>
    </row>
    <row r="12" spans="1:17" x14ac:dyDescent="0.25">
      <c r="A12" s="43">
        <v>10</v>
      </c>
      <c r="B12" t="s">
        <v>556</v>
      </c>
      <c r="C12" s="31">
        <f t="shared" si="0"/>
        <v>8.5714285714285712</v>
      </c>
      <c r="D12" s="31">
        <f t="shared" si="1"/>
        <v>20</v>
      </c>
      <c r="E12" s="31">
        <f t="shared" si="2"/>
        <v>8.5714285714285712</v>
      </c>
      <c r="F12">
        <f t="shared" si="6"/>
        <v>2</v>
      </c>
      <c r="G12">
        <f t="shared" si="7"/>
        <v>3</v>
      </c>
      <c r="H12">
        <f t="shared" si="8"/>
        <v>2</v>
      </c>
      <c r="I12" t="s">
        <v>3659</v>
      </c>
      <c r="J12">
        <v>7</v>
      </c>
      <c r="K12" s="31">
        <v>3</v>
      </c>
    </row>
    <row r="13" spans="1:17" x14ac:dyDescent="0.25">
      <c r="A13" s="43">
        <v>11</v>
      </c>
      <c r="B13" t="s">
        <v>557</v>
      </c>
      <c r="C13" s="31">
        <f t="shared" si="0"/>
        <v>12</v>
      </c>
      <c r="D13" s="31">
        <f t="shared" si="1"/>
        <v>20</v>
      </c>
      <c r="E13" s="31">
        <f t="shared" si="2"/>
        <v>12</v>
      </c>
      <c r="F13">
        <f t="shared" si="6"/>
        <v>3</v>
      </c>
      <c r="G13">
        <f t="shared" si="7"/>
        <v>3</v>
      </c>
      <c r="H13">
        <f t="shared" si="8"/>
        <v>3</v>
      </c>
      <c r="I13" t="s">
        <v>3659</v>
      </c>
      <c r="J13">
        <v>5</v>
      </c>
      <c r="K13" s="31">
        <v>3</v>
      </c>
    </row>
    <row r="14" spans="1:17" x14ac:dyDescent="0.25">
      <c r="A14" s="43">
        <v>12</v>
      </c>
      <c r="B14" t="s">
        <v>558</v>
      </c>
      <c r="C14" s="31">
        <f t="shared" si="0"/>
        <v>6</v>
      </c>
      <c r="D14" s="31">
        <f t="shared" si="1"/>
        <v>15</v>
      </c>
      <c r="E14" s="31">
        <f t="shared" si="2"/>
        <v>6</v>
      </c>
      <c r="F14">
        <f t="shared" si="6"/>
        <v>2</v>
      </c>
      <c r="G14">
        <f t="shared" si="7"/>
        <v>3</v>
      </c>
      <c r="H14">
        <f t="shared" si="8"/>
        <v>2</v>
      </c>
      <c r="I14" t="s">
        <v>3659</v>
      </c>
      <c r="J14">
        <v>10</v>
      </c>
      <c r="K14" s="31">
        <v>4</v>
      </c>
      <c r="M14" t="s">
        <v>3660</v>
      </c>
    </row>
    <row r="15" spans="1:17" x14ac:dyDescent="0.25">
      <c r="A15" s="43">
        <v>13</v>
      </c>
      <c r="B15" t="s">
        <v>559</v>
      </c>
      <c r="C15" s="31">
        <f t="shared" si="0"/>
        <v>10</v>
      </c>
      <c r="D15" s="31">
        <f t="shared" si="1"/>
        <v>15</v>
      </c>
      <c r="E15" s="31">
        <f t="shared" si="2"/>
        <v>10</v>
      </c>
      <c r="F15">
        <f t="shared" si="6"/>
        <v>2</v>
      </c>
      <c r="G15">
        <f t="shared" si="7"/>
        <v>3</v>
      </c>
      <c r="H15">
        <f t="shared" si="8"/>
        <v>2</v>
      </c>
      <c r="I15" t="s">
        <v>3659</v>
      </c>
      <c r="J15">
        <v>6</v>
      </c>
      <c r="K15" s="31">
        <v>4</v>
      </c>
    </row>
    <row r="16" spans="1:17" x14ac:dyDescent="0.25">
      <c r="A16" s="43">
        <v>14</v>
      </c>
      <c r="B16" t="s">
        <v>560</v>
      </c>
      <c r="C16" s="31">
        <f t="shared" si="0"/>
        <v>8.5714285714285712</v>
      </c>
      <c r="D16" s="31">
        <f t="shared" si="1"/>
        <v>20</v>
      </c>
      <c r="E16" s="31">
        <f t="shared" si="2"/>
        <v>8.5714285714285712</v>
      </c>
      <c r="F16">
        <f t="shared" si="6"/>
        <v>2</v>
      </c>
      <c r="G16">
        <f t="shared" si="7"/>
        <v>3</v>
      </c>
      <c r="H16">
        <f t="shared" si="8"/>
        <v>2</v>
      </c>
      <c r="I16" t="s">
        <v>3659</v>
      </c>
      <c r="J16">
        <v>7</v>
      </c>
      <c r="K16" s="31">
        <v>3</v>
      </c>
    </row>
    <row r="17" spans="1:11" x14ac:dyDescent="0.25">
      <c r="A17" s="43">
        <v>15</v>
      </c>
      <c r="B17" t="s">
        <v>561</v>
      </c>
      <c r="C17" s="31">
        <f t="shared" si="0"/>
        <v>8.5714285714285712</v>
      </c>
      <c r="D17" s="31">
        <f t="shared" si="1"/>
        <v>20</v>
      </c>
      <c r="E17" s="31">
        <f t="shared" si="2"/>
        <v>8.5714285714285712</v>
      </c>
      <c r="F17">
        <f t="shared" si="6"/>
        <v>2</v>
      </c>
      <c r="G17">
        <f t="shared" si="7"/>
        <v>3</v>
      </c>
      <c r="H17">
        <f t="shared" si="8"/>
        <v>2</v>
      </c>
      <c r="I17" t="s">
        <v>3659</v>
      </c>
      <c r="J17">
        <v>7</v>
      </c>
      <c r="K17" s="31">
        <v>3</v>
      </c>
    </row>
    <row r="18" spans="1:11" x14ac:dyDescent="0.25">
      <c r="A18" s="43">
        <v>16</v>
      </c>
      <c r="B18" t="s">
        <v>562</v>
      </c>
      <c r="C18" s="31">
        <f t="shared" si="0"/>
        <v>7.5</v>
      </c>
      <c r="D18" s="31">
        <f t="shared" si="1"/>
        <v>15</v>
      </c>
      <c r="E18" s="31">
        <f t="shared" si="2"/>
        <v>7.5</v>
      </c>
      <c r="F18">
        <f t="shared" si="6"/>
        <v>2</v>
      </c>
      <c r="G18">
        <f t="shared" si="7"/>
        <v>3</v>
      </c>
      <c r="H18">
        <f t="shared" si="8"/>
        <v>2</v>
      </c>
      <c r="I18" t="s">
        <v>3659</v>
      </c>
      <c r="J18">
        <v>8</v>
      </c>
      <c r="K18" s="31">
        <v>4</v>
      </c>
    </row>
    <row r="19" spans="1:11" x14ac:dyDescent="0.25">
      <c r="A19" s="43">
        <v>17</v>
      </c>
      <c r="B19" t="s">
        <v>563</v>
      </c>
      <c r="C19" s="31">
        <f t="shared" si="0"/>
        <v>12</v>
      </c>
      <c r="D19" s="31">
        <f t="shared" si="1"/>
        <v>30</v>
      </c>
      <c r="E19" s="31">
        <f t="shared" si="2"/>
        <v>12</v>
      </c>
      <c r="F19">
        <f t="shared" si="6"/>
        <v>3</v>
      </c>
      <c r="G19">
        <f t="shared" si="7"/>
        <v>4</v>
      </c>
      <c r="H19">
        <f t="shared" si="8"/>
        <v>3</v>
      </c>
      <c r="I19" t="s">
        <v>3659</v>
      </c>
      <c r="J19">
        <v>5</v>
      </c>
      <c r="K19" s="31">
        <v>2</v>
      </c>
    </row>
    <row r="20" spans="1:11" x14ac:dyDescent="0.25">
      <c r="A20" s="43">
        <v>18</v>
      </c>
      <c r="B20" t="s">
        <v>564</v>
      </c>
      <c r="C20" s="31">
        <f t="shared" si="0"/>
        <v>20</v>
      </c>
      <c r="D20" s="31">
        <f t="shared" si="1"/>
        <v>60</v>
      </c>
      <c r="E20" s="31">
        <f t="shared" si="2"/>
        <v>20</v>
      </c>
      <c r="F20">
        <f t="shared" si="6"/>
        <v>3</v>
      </c>
      <c r="G20">
        <f t="shared" si="7"/>
        <v>5</v>
      </c>
      <c r="H20">
        <f t="shared" si="8"/>
        <v>3</v>
      </c>
      <c r="I20" t="s">
        <v>3659</v>
      </c>
      <c r="J20">
        <v>3</v>
      </c>
      <c r="K20" s="31">
        <v>1</v>
      </c>
    </row>
    <row r="21" spans="1:11" x14ac:dyDescent="0.25">
      <c r="A21" s="43">
        <v>19</v>
      </c>
      <c r="B21" t="s">
        <v>565</v>
      </c>
      <c r="C21" s="31">
        <f t="shared" si="0"/>
        <v>8.5714285714285712</v>
      </c>
      <c r="D21" s="31">
        <f t="shared" si="1"/>
        <v>30</v>
      </c>
      <c r="E21" s="31">
        <f t="shared" si="2"/>
        <v>8.5714285714285712</v>
      </c>
      <c r="F21">
        <f t="shared" si="6"/>
        <v>2</v>
      </c>
      <c r="G21">
        <f t="shared" si="7"/>
        <v>4</v>
      </c>
      <c r="H21">
        <f t="shared" si="8"/>
        <v>2</v>
      </c>
      <c r="I21" t="s">
        <v>3659</v>
      </c>
      <c r="J21">
        <v>7</v>
      </c>
      <c r="K21" s="31">
        <v>2</v>
      </c>
    </row>
    <row r="22" spans="1:11" x14ac:dyDescent="0.25">
      <c r="A22" s="43">
        <v>20</v>
      </c>
      <c r="B22" t="s">
        <v>566</v>
      </c>
      <c r="C22" s="31">
        <f t="shared" si="0"/>
        <v>12</v>
      </c>
      <c r="D22" s="31">
        <f t="shared" si="1"/>
        <v>60</v>
      </c>
      <c r="E22" s="31">
        <f t="shared" si="2"/>
        <v>12</v>
      </c>
      <c r="F22">
        <f t="shared" si="6"/>
        <v>3</v>
      </c>
      <c r="G22">
        <f t="shared" si="7"/>
        <v>5</v>
      </c>
      <c r="H22">
        <f t="shared" si="8"/>
        <v>3</v>
      </c>
      <c r="I22" t="s">
        <v>3659</v>
      </c>
      <c r="J22">
        <v>5</v>
      </c>
      <c r="K22" s="31">
        <v>1</v>
      </c>
    </row>
    <row r="23" spans="1:11" x14ac:dyDescent="0.25">
      <c r="A23" s="43">
        <v>21</v>
      </c>
      <c r="B23" t="s">
        <v>567</v>
      </c>
      <c r="C23" s="31">
        <f t="shared" si="0"/>
        <v>6</v>
      </c>
      <c r="D23" s="31">
        <f t="shared" si="1"/>
        <v>30</v>
      </c>
      <c r="E23" s="31">
        <f t="shared" si="2"/>
        <v>6</v>
      </c>
      <c r="F23">
        <f t="shared" si="6"/>
        <v>2</v>
      </c>
      <c r="G23">
        <f t="shared" si="7"/>
        <v>4</v>
      </c>
      <c r="H23">
        <f t="shared" si="8"/>
        <v>2</v>
      </c>
      <c r="I23" t="s">
        <v>3659</v>
      </c>
      <c r="J23">
        <v>10</v>
      </c>
      <c r="K23" s="31">
        <v>2</v>
      </c>
    </row>
    <row r="24" spans="1:11" x14ac:dyDescent="0.25">
      <c r="A24" s="43">
        <v>22</v>
      </c>
      <c r="B24" t="s">
        <v>568</v>
      </c>
      <c r="C24" s="31">
        <f t="shared" si="0"/>
        <v>12</v>
      </c>
      <c r="D24" s="31">
        <f t="shared" si="1"/>
        <v>30</v>
      </c>
      <c r="E24" s="31">
        <f t="shared" si="2"/>
        <v>12</v>
      </c>
      <c r="F24">
        <f t="shared" si="6"/>
        <v>3</v>
      </c>
      <c r="G24">
        <f t="shared" si="7"/>
        <v>4</v>
      </c>
      <c r="H24">
        <f t="shared" si="8"/>
        <v>3</v>
      </c>
      <c r="I24" t="s">
        <v>3659</v>
      </c>
      <c r="J24">
        <v>5</v>
      </c>
      <c r="K24" s="31">
        <v>2</v>
      </c>
    </row>
    <row r="25" spans="1:11" x14ac:dyDescent="0.25">
      <c r="A25" s="43">
        <v>23</v>
      </c>
      <c r="B25" t="s">
        <v>569</v>
      </c>
      <c r="C25" s="31">
        <f t="shared" si="0"/>
        <v>7.5</v>
      </c>
      <c r="D25" s="31">
        <f t="shared" si="1"/>
        <v>20</v>
      </c>
      <c r="E25" s="31">
        <f t="shared" si="2"/>
        <v>7.5</v>
      </c>
      <c r="F25">
        <f t="shared" si="6"/>
        <v>2</v>
      </c>
      <c r="G25">
        <f t="shared" si="7"/>
        <v>3</v>
      </c>
      <c r="H25">
        <f t="shared" si="8"/>
        <v>2</v>
      </c>
      <c r="I25" t="s">
        <v>3659</v>
      </c>
      <c r="J25">
        <v>8</v>
      </c>
      <c r="K25" s="31">
        <v>3</v>
      </c>
    </row>
    <row r="26" spans="1:11" x14ac:dyDescent="0.25">
      <c r="A26" s="43">
        <v>24</v>
      </c>
      <c r="B26" t="s">
        <v>570</v>
      </c>
      <c r="C26" s="31">
        <f t="shared" si="0"/>
        <v>12</v>
      </c>
      <c r="D26" s="31">
        <f t="shared" si="1"/>
        <v>60</v>
      </c>
      <c r="E26" s="31">
        <f t="shared" si="2"/>
        <v>12</v>
      </c>
      <c r="F26">
        <f t="shared" si="6"/>
        <v>3</v>
      </c>
      <c r="G26">
        <f t="shared" si="7"/>
        <v>5</v>
      </c>
      <c r="H26">
        <f t="shared" si="8"/>
        <v>3</v>
      </c>
      <c r="I26" t="s">
        <v>3659</v>
      </c>
      <c r="J26">
        <v>5</v>
      </c>
      <c r="K26" s="31">
        <v>1</v>
      </c>
    </row>
    <row r="27" spans="1:11" x14ac:dyDescent="0.25">
      <c r="A27" s="43">
        <v>25</v>
      </c>
      <c r="B27" t="s">
        <v>571</v>
      </c>
      <c r="C27" s="31">
        <f t="shared" si="0"/>
        <v>12</v>
      </c>
      <c r="D27" s="31">
        <f t="shared" si="1"/>
        <v>30</v>
      </c>
      <c r="E27" s="31">
        <f t="shared" si="2"/>
        <v>12</v>
      </c>
      <c r="F27">
        <f t="shared" si="6"/>
        <v>3</v>
      </c>
      <c r="G27">
        <f t="shared" si="7"/>
        <v>4</v>
      </c>
      <c r="H27">
        <f t="shared" si="8"/>
        <v>3</v>
      </c>
      <c r="I27" t="s">
        <v>3659</v>
      </c>
      <c r="J27">
        <v>5</v>
      </c>
      <c r="K27" s="31">
        <v>2</v>
      </c>
    </row>
    <row r="28" spans="1:11" x14ac:dyDescent="0.25">
      <c r="A28" s="43">
        <v>26</v>
      </c>
      <c r="B28" t="s">
        <v>572</v>
      </c>
      <c r="C28" s="31">
        <f t="shared" si="0"/>
        <v>15</v>
      </c>
      <c r="D28" s="31">
        <f t="shared" si="1"/>
        <v>30</v>
      </c>
      <c r="E28" s="31">
        <f t="shared" si="2"/>
        <v>15</v>
      </c>
      <c r="F28">
        <f t="shared" si="6"/>
        <v>3</v>
      </c>
      <c r="G28">
        <f t="shared" si="7"/>
        <v>4</v>
      </c>
      <c r="H28">
        <f t="shared" si="8"/>
        <v>3</v>
      </c>
      <c r="I28" t="s">
        <v>3659</v>
      </c>
      <c r="J28">
        <v>4</v>
      </c>
      <c r="K28" s="31">
        <v>2</v>
      </c>
    </row>
    <row r="29" spans="1:11" x14ac:dyDescent="0.25">
      <c r="A29" s="43">
        <v>27</v>
      </c>
      <c r="B29" t="s">
        <v>573</v>
      </c>
      <c r="C29" s="31">
        <f t="shared" si="0"/>
        <v>10</v>
      </c>
      <c r="D29" s="31">
        <f t="shared" si="1"/>
        <v>20</v>
      </c>
      <c r="E29" s="31">
        <f t="shared" si="2"/>
        <v>10</v>
      </c>
      <c r="F29">
        <f t="shared" si="6"/>
        <v>2</v>
      </c>
      <c r="G29">
        <f t="shared" si="7"/>
        <v>3</v>
      </c>
      <c r="H29">
        <f t="shared" si="8"/>
        <v>2</v>
      </c>
      <c r="I29" t="s">
        <v>3659</v>
      </c>
      <c r="J29">
        <v>6</v>
      </c>
      <c r="K29" s="31">
        <v>3</v>
      </c>
    </row>
    <row r="30" spans="1:11" x14ac:dyDescent="0.25">
      <c r="A30" s="43">
        <v>28</v>
      </c>
      <c r="B30" t="s">
        <v>574</v>
      </c>
      <c r="C30" s="31">
        <f t="shared" si="0"/>
        <v>7.5</v>
      </c>
      <c r="D30" s="31">
        <f t="shared" si="1"/>
        <v>20</v>
      </c>
      <c r="E30" s="31">
        <f t="shared" si="2"/>
        <v>7.5</v>
      </c>
      <c r="F30">
        <f t="shared" si="6"/>
        <v>2</v>
      </c>
      <c r="G30">
        <f t="shared" si="7"/>
        <v>3</v>
      </c>
      <c r="H30">
        <f t="shared" si="8"/>
        <v>2</v>
      </c>
      <c r="I30" t="s">
        <v>3659</v>
      </c>
      <c r="J30">
        <v>8</v>
      </c>
      <c r="K30" s="31">
        <v>3</v>
      </c>
    </row>
    <row r="31" spans="1:11" x14ac:dyDescent="0.25">
      <c r="A31" s="43">
        <v>29</v>
      </c>
      <c r="B31" t="s">
        <v>249</v>
      </c>
      <c r="C31" s="31">
        <f t="shared" si="0"/>
        <v>7.5</v>
      </c>
      <c r="D31" s="31">
        <f t="shared" si="1"/>
        <v>30</v>
      </c>
      <c r="E31" s="31">
        <f t="shared" si="2"/>
        <v>7.5</v>
      </c>
      <c r="F31">
        <f t="shared" si="6"/>
        <v>2</v>
      </c>
      <c r="G31">
        <f t="shared" si="7"/>
        <v>4</v>
      </c>
      <c r="H31">
        <f t="shared" si="8"/>
        <v>2</v>
      </c>
      <c r="I31" t="s">
        <v>3659</v>
      </c>
      <c r="J31">
        <v>8</v>
      </c>
      <c r="K31" s="31">
        <v>2</v>
      </c>
    </row>
    <row r="32" spans="1:11" x14ac:dyDescent="0.25">
      <c r="A32" s="43">
        <v>30</v>
      </c>
      <c r="B32" t="s">
        <v>575</v>
      </c>
      <c r="C32" s="31">
        <f t="shared" si="0"/>
        <v>12</v>
      </c>
      <c r="D32" s="31">
        <f t="shared" si="1"/>
        <v>30</v>
      </c>
      <c r="E32" s="31">
        <f t="shared" si="2"/>
        <v>12</v>
      </c>
      <c r="F32">
        <f t="shared" si="6"/>
        <v>3</v>
      </c>
      <c r="G32">
        <f t="shared" si="7"/>
        <v>4</v>
      </c>
      <c r="H32">
        <f t="shared" si="8"/>
        <v>3</v>
      </c>
      <c r="I32" t="s">
        <v>3659</v>
      </c>
      <c r="J32">
        <v>5</v>
      </c>
      <c r="K32" s="31">
        <v>2</v>
      </c>
    </row>
    <row r="33" spans="1:11" x14ac:dyDescent="0.25">
      <c r="A33" s="43">
        <v>31</v>
      </c>
      <c r="B33" t="s">
        <v>576</v>
      </c>
      <c r="C33" s="31">
        <f t="shared" si="0"/>
        <v>30</v>
      </c>
      <c r="D33" s="31">
        <f t="shared" si="1"/>
        <v>60</v>
      </c>
      <c r="E33" s="31">
        <f t="shared" si="2"/>
        <v>30</v>
      </c>
      <c r="F33">
        <f t="shared" si="6"/>
        <v>4</v>
      </c>
      <c r="G33">
        <f t="shared" si="7"/>
        <v>5</v>
      </c>
      <c r="H33">
        <f t="shared" si="8"/>
        <v>4</v>
      </c>
      <c r="I33" t="s">
        <v>3659</v>
      </c>
      <c r="J33">
        <v>2</v>
      </c>
      <c r="K33" s="31">
        <v>1</v>
      </c>
    </row>
    <row r="34" spans="1:11" x14ac:dyDescent="0.25">
      <c r="A34" s="43">
        <v>32</v>
      </c>
      <c r="B34" t="s">
        <v>577</v>
      </c>
      <c r="C34" s="31">
        <f t="shared" si="0"/>
        <v>7.5</v>
      </c>
      <c r="D34" s="31">
        <f t="shared" si="1"/>
        <v>30</v>
      </c>
      <c r="E34" s="31">
        <f t="shared" si="2"/>
        <v>7.5</v>
      </c>
      <c r="F34">
        <f t="shared" si="6"/>
        <v>2</v>
      </c>
      <c r="G34">
        <f t="shared" si="7"/>
        <v>4</v>
      </c>
      <c r="H34">
        <f t="shared" si="8"/>
        <v>2</v>
      </c>
      <c r="I34" t="s">
        <v>3659</v>
      </c>
      <c r="J34">
        <v>8</v>
      </c>
      <c r="K34" s="31">
        <v>2</v>
      </c>
    </row>
    <row r="35" spans="1:11" x14ac:dyDescent="0.25">
      <c r="A35" s="43">
        <v>33</v>
      </c>
      <c r="B35" t="s">
        <v>578</v>
      </c>
      <c r="C35" s="31">
        <f t="shared" si="0"/>
        <v>10</v>
      </c>
      <c r="D35" s="31">
        <f t="shared" si="1"/>
        <v>30</v>
      </c>
      <c r="E35" s="31">
        <f t="shared" si="2"/>
        <v>10</v>
      </c>
      <c r="F35">
        <f t="shared" si="6"/>
        <v>2</v>
      </c>
      <c r="G35">
        <f t="shared" si="7"/>
        <v>4</v>
      </c>
      <c r="H35">
        <f t="shared" si="8"/>
        <v>2</v>
      </c>
      <c r="I35" t="s">
        <v>3659</v>
      </c>
      <c r="J35">
        <v>6</v>
      </c>
      <c r="K35" s="31">
        <v>2</v>
      </c>
    </row>
    <row r="36" spans="1:11" x14ac:dyDescent="0.25">
      <c r="A36" s="43">
        <v>34</v>
      </c>
      <c r="B36" t="s">
        <v>579</v>
      </c>
      <c r="C36" s="31">
        <f t="shared" si="0"/>
        <v>6</v>
      </c>
      <c r="D36" s="31">
        <f t="shared" si="1"/>
        <v>12</v>
      </c>
      <c r="E36" s="31">
        <f t="shared" si="2"/>
        <v>6</v>
      </c>
      <c r="F36">
        <f t="shared" si="6"/>
        <v>2</v>
      </c>
      <c r="G36">
        <f t="shared" si="7"/>
        <v>3</v>
      </c>
      <c r="H36">
        <f t="shared" si="8"/>
        <v>2</v>
      </c>
      <c r="I36" t="s">
        <v>3659</v>
      </c>
      <c r="J36">
        <v>10</v>
      </c>
      <c r="K36" s="31">
        <v>5</v>
      </c>
    </row>
    <row r="37" spans="1:11" x14ac:dyDescent="0.25">
      <c r="A37" s="43">
        <v>35</v>
      </c>
      <c r="B37" t="s">
        <v>580</v>
      </c>
      <c r="C37" s="31">
        <f t="shared" si="0"/>
        <v>8.5714285714285712</v>
      </c>
      <c r="D37" s="31">
        <f t="shared" si="1"/>
        <v>12</v>
      </c>
      <c r="E37" s="31">
        <f t="shared" si="2"/>
        <v>8.5714285714285712</v>
      </c>
      <c r="F37">
        <f t="shared" si="6"/>
        <v>2</v>
      </c>
      <c r="G37">
        <f t="shared" si="7"/>
        <v>3</v>
      </c>
      <c r="H37">
        <f t="shared" si="8"/>
        <v>2</v>
      </c>
      <c r="I37" t="s">
        <v>3659</v>
      </c>
      <c r="J37">
        <v>7</v>
      </c>
      <c r="K37" s="31">
        <v>5</v>
      </c>
    </row>
    <row r="38" spans="1:11" x14ac:dyDescent="0.25">
      <c r="A38" s="43">
        <v>36</v>
      </c>
      <c r="B38" t="s">
        <v>581</v>
      </c>
      <c r="C38" s="31">
        <f t="shared" si="0"/>
        <v>8.5714285714285712</v>
      </c>
      <c r="D38" s="31">
        <f t="shared" si="1"/>
        <v>20</v>
      </c>
      <c r="E38" s="31">
        <f t="shared" si="2"/>
        <v>8.5714285714285712</v>
      </c>
      <c r="F38">
        <f t="shared" si="6"/>
        <v>2</v>
      </c>
      <c r="G38">
        <f t="shared" si="7"/>
        <v>3</v>
      </c>
      <c r="H38">
        <f t="shared" si="8"/>
        <v>2</v>
      </c>
      <c r="I38" t="s">
        <v>3659</v>
      </c>
      <c r="J38">
        <v>7</v>
      </c>
      <c r="K38" s="31">
        <v>3</v>
      </c>
    </row>
    <row r="39" spans="1:11" x14ac:dyDescent="0.25">
      <c r="A39" s="43">
        <v>37</v>
      </c>
      <c r="B39" t="s">
        <v>582</v>
      </c>
      <c r="C39" s="31">
        <f t="shared" si="0"/>
        <v>12</v>
      </c>
      <c r="D39" s="31">
        <f t="shared" si="1"/>
        <v>60</v>
      </c>
      <c r="E39" s="31">
        <f t="shared" si="2"/>
        <v>12</v>
      </c>
      <c r="F39">
        <f t="shared" si="6"/>
        <v>3</v>
      </c>
      <c r="G39">
        <f t="shared" si="7"/>
        <v>5</v>
      </c>
      <c r="H39">
        <f t="shared" si="8"/>
        <v>3</v>
      </c>
      <c r="I39" t="s">
        <v>3659</v>
      </c>
      <c r="J39">
        <v>5</v>
      </c>
      <c r="K39" s="31">
        <v>1</v>
      </c>
    </row>
    <row r="40" spans="1:11" x14ac:dyDescent="0.25">
      <c r="A40" s="43">
        <v>38</v>
      </c>
      <c r="B40" t="s">
        <v>583</v>
      </c>
      <c r="C40" s="31">
        <f t="shared" si="0"/>
        <v>6</v>
      </c>
      <c r="D40" s="31">
        <f t="shared" si="1"/>
        <v>20</v>
      </c>
      <c r="E40" s="31">
        <f t="shared" si="2"/>
        <v>6</v>
      </c>
      <c r="F40">
        <f t="shared" si="6"/>
        <v>2</v>
      </c>
      <c r="G40">
        <f t="shared" si="7"/>
        <v>3</v>
      </c>
      <c r="H40">
        <f t="shared" si="8"/>
        <v>2</v>
      </c>
      <c r="I40" t="s">
        <v>3659</v>
      </c>
      <c r="J40">
        <v>10</v>
      </c>
      <c r="K40" s="31">
        <v>3</v>
      </c>
    </row>
    <row r="41" spans="1:11" x14ac:dyDescent="0.25">
      <c r="A41" s="43">
        <v>39</v>
      </c>
      <c r="C41"/>
      <c r="D41" s="31"/>
      <c r="F41" t="str">
        <f t="shared" si="6"/>
        <v/>
      </c>
      <c r="G41" t="str">
        <f t="shared" si="7"/>
        <v/>
      </c>
      <c r="H41" t="str">
        <f t="shared" si="8"/>
        <v/>
      </c>
    </row>
    <row r="42" spans="1:11" x14ac:dyDescent="0.25">
      <c r="A42" s="43">
        <v>40</v>
      </c>
      <c r="B42" s="28" t="s">
        <v>584</v>
      </c>
      <c r="C42" s="31">
        <f>MAX(C5:C40)</f>
        <v>30</v>
      </c>
      <c r="D42" s="31">
        <f>MAX(D5:D40)</f>
        <v>60</v>
      </c>
      <c r="E42" s="31">
        <f>MAX(E5:E40)</f>
        <v>30</v>
      </c>
      <c r="F42">
        <f t="shared" si="6"/>
        <v>4</v>
      </c>
      <c r="G42">
        <f t="shared" si="7"/>
        <v>5</v>
      </c>
      <c r="H42">
        <f t="shared" si="8"/>
        <v>4</v>
      </c>
      <c r="I42" t="s">
        <v>3659</v>
      </c>
    </row>
    <row r="43" spans="1:11" x14ac:dyDescent="0.25">
      <c r="A43" s="43">
        <v>41</v>
      </c>
      <c r="B43" s="28" t="s">
        <v>585</v>
      </c>
      <c r="C43" s="31">
        <f t="shared" ref="C43:E43" si="11">MIN(C5:C40)</f>
        <v>3.3333333333333335</v>
      </c>
      <c r="D43" s="31">
        <f>MIN(D5:D40)</f>
        <v>5</v>
      </c>
      <c r="E43" s="31">
        <f t="shared" si="11"/>
        <v>3.3333333333333335</v>
      </c>
      <c r="F43">
        <f t="shared" si="6"/>
        <v>1</v>
      </c>
      <c r="G43">
        <f t="shared" si="7"/>
        <v>2</v>
      </c>
      <c r="H43">
        <f t="shared" si="8"/>
        <v>1</v>
      </c>
      <c r="I43" t="s">
        <v>3659</v>
      </c>
    </row>
    <row r="44" spans="1:11" x14ac:dyDescent="0.25">
      <c r="A44" s="43">
        <v>42</v>
      </c>
      <c r="B44" s="28" t="s">
        <v>547</v>
      </c>
      <c r="C44" s="31">
        <f t="shared" ref="C44:E44" si="12">AVERAGE(C5:C40)</f>
        <v>10.812830687830688</v>
      </c>
      <c r="D44" s="31">
        <f>AVERAGE(D5:D40)</f>
        <v>29</v>
      </c>
      <c r="E44" s="31">
        <f t="shared" si="12"/>
        <v>10.812830687830688</v>
      </c>
      <c r="F44">
        <f t="shared" si="6"/>
        <v>3</v>
      </c>
      <c r="G44">
        <f t="shared" si="7"/>
        <v>4</v>
      </c>
      <c r="H44">
        <f t="shared" si="8"/>
        <v>3</v>
      </c>
      <c r="I44" t="s">
        <v>3659</v>
      </c>
    </row>
    <row r="45" spans="1:11" x14ac:dyDescent="0.25">
      <c r="A45" s="43">
        <v>43</v>
      </c>
      <c r="C45"/>
      <c r="D45" s="31"/>
      <c r="E45" s="31"/>
      <c r="F45" t="str">
        <f t="shared" si="6"/>
        <v/>
      </c>
      <c r="G45" t="str">
        <f t="shared" si="7"/>
        <v/>
      </c>
      <c r="H45" t="str">
        <f t="shared" si="8"/>
        <v/>
      </c>
    </row>
    <row r="46" spans="1:11" x14ac:dyDescent="0.25">
      <c r="A46" s="43">
        <v>44</v>
      </c>
      <c r="C46"/>
      <c r="F46" t="str">
        <f t="shared" si="6"/>
        <v/>
      </c>
      <c r="G46" t="str">
        <f t="shared" si="7"/>
        <v/>
      </c>
      <c r="H46" t="str">
        <f t="shared" si="8"/>
        <v/>
      </c>
    </row>
    <row r="47" spans="1:11" x14ac:dyDescent="0.25">
      <c r="A47" s="43">
        <v>45</v>
      </c>
      <c r="B47" t="s">
        <v>586</v>
      </c>
      <c r="C47" s="31">
        <v>3</v>
      </c>
      <c r="D47">
        <v>4</v>
      </c>
      <c r="E47" s="31">
        <f t="shared" ref="E47:E72" si="13">AVERAGE(C47:C47)</f>
        <v>3</v>
      </c>
      <c r="F47">
        <f t="shared" si="6"/>
        <v>1</v>
      </c>
      <c r="G47">
        <f t="shared" si="7"/>
        <v>1</v>
      </c>
      <c r="H47">
        <f t="shared" si="8"/>
        <v>1</v>
      </c>
      <c r="I47" t="s">
        <v>587</v>
      </c>
      <c r="J47" t="s">
        <v>3661</v>
      </c>
    </row>
    <row r="48" spans="1:11" x14ac:dyDescent="0.25">
      <c r="A48" s="43">
        <v>46</v>
      </c>
      <c r="B48" t="s">
        <v>588</v>
      </c>
      <c r="C48" s="31">
        <v>5</v>
      </c>
      <c r="D48">
        <v>6</v>
      </c>
      <c r="E48" s="31">
        <f t="shared" si="13"/>
        <v>5</v>
      </c>
      <c r="F48">
        <f t="shared" si="6"/>
        <v>2</v>
      </c>
      <c r="G48">
        <f t="shared" si="7"/>
        <v>2</v>
      </c>
      <c r="H48">
        <f t="shared" si="8"/>
        <v>2</v>
      </c>
      <c r="I48" t="s">
        <v>587</v>
      </c>
    </row>
    <row r="49" spans="1:9" x14ac:dyDescent="0.25">
      <c r="A49" s="43">
        <v>47</v>
      </c>
      <c r="B49" t="s">
        <v>589</v>
      </c>
      <c r="C49" s="31">
        <v>6</v>
      </c>
      <c r="D49">
        <v>7</v>
      </c>
      <c r="E49" s="31">
        <f t="shared" si="13"/>
        <v>6</v>
      </c>
      <c r="F49">
        <f t="shared" si="6"/>
        <v>2</v>
      </c>
      <c r="G49">
        <f t="shared" si="7"/>
        <v>2</v>
      </c>
      <c r="H49">
        <f t="shared" si="8"/>
        <v>2</v>
      </c>
      <c r="I49" t="s">
        <v>587</v>
      </c>
    </row>
    <row r="50" spans="1:9" x14ac:dyDescent="0.25">
      <c r="A50" s="43">
        <v>48</v>
      </c>
      <c r="B50" t="s">
        <v>590</v>
      </c>
      <c r="C50" s="31">
        <v>6</v>
      </c>
      <c r="D50">
        <v>8</v>
      </c>
      <c r="E50" s="31">
        <f t="shared" si="13"/>
        <v>6</v>
      </c>
      <c r="F50">
        <f t="shared" si="6"/>
        <v>2</v>
      </c>
      <c r="G50">
        <f t="shared" si="7"/>
        <v>2</v>
      </c>
      <c r="H50">
        <f t="shared" si="8"/>
        <v>2</v>
      </c>
      <c r="I50" t="s">
        <v>587</v>
      </c>
    </row>
    <row r="51" spans="1:9" x14ac:dyDescent="0.25">
      <c r="A51" s="43">
        <v>49</v>
      </c>
      <c r="B51" t="s">
        <v>570</v>
      </c>
      <c r="C51" s="31">
        <v>7</v>
      </c>
      <c r="D51">
        <v>8</v>
      </c>
      <c r="E51" s="31">
        <f t="shared" si="13"/>
        <v>7</v>
      </c>
      <c r="F51">
        <f t="shared" si="6"/>
        <v>2</v>
      </c>
      <c r="G51">
        <f t="shared" si="7"/>
        <v>2</v>
      </c>
      <c r="H51">
        <f t="shared" si="8"/>
        <v>2</v>
      </c>
      <c r="I51" t="s">
        <v>587</v>
      </c>
    </row>
    <row r="52" spans="1:9" x14ac:dyDescent="0.25">
      <c r="A52" s="43">
        <v>50</v>
      </c>
      <c r="B52" t="s">
        <v>572</v>
      </c>
      <c r="C52" s="31">
        <v>8</v>
      </c>
      <c r="D52">
        <v>9</v>
      </c>
      <c r="E52" s="31">
        <f t="shared" si="13"/>
        <v>8</v>
      </c>
      <c r="F52">
        <f t="shared" si="6"/>
        <v>2</v>
      </c>
      <c r="G52">
        <f t="shared" si="7"/>
        <v>2</v>
      </c>
      <c r="H52">
        <f t="shared" si="8"/>
        <v>2</v>
      </c>
      <c r="I52" t="s">
        <v>587</v>
      </c>
    </row>
    <row r="53" spans="1:9" x14ac:dyDescent="0.25">
      <c r="A53" s="43">
        <v>51</v>
      </c>
      <c r="B53" t="s">
        <v>591</v>
      </c>
      <c r="C53" s="31">
        <v>6</v>
      </c>
      <c r="D53">
        <v>8</v>
      </c>
      <c r="E53" s="31">
        <f t="shared" si="13"/>
        <v>6</v>
      </c>
      <c r="F53">
        <f t="shared" si="6"/>
        <v>2</v>
      </c>
      <c r="G53">
        <f t="shared" si="7"/>
        <v>2</v>
      </c>
      <c r="H53">
        <f t="shared" si="8"/>
        <v>2</v>
      </c>
      <c r="I53" t="s">
        <v>587</v>
      </c>
    </row>
    <row r="54" spans="1:9" x14ac:dyDescent="0.25">
      <c r="A54" s="43">
        <v>52</v>
      </c>
      <c r="B54" t="s">
        <v>592</v>
      </c>
      <c r="C54" s="31">
        <v>7</v>
      </c>
      <c r="D54">
        <v>8</v>
      </c>
      <c r="E54" s="31">
        <f t="shared" si="13"/>
        <v>7</v>
      </c>
      <c r="F54">
        <f t="shared" si="6"/>
        <v>2</v>
      </c>
      <c r="G54">
        <f t="shared" si="7"/>
        <v>2</v>
      </c>
      <c r="H54">
        <f t="shared" si="8"/>
        <v>2</v>
      </c>
      <c r="I54" t="s">
        <v>587</v>
      </c>
    </row>
    <row r="55" spans="1:9" x14ac:dyDescent="0.25">
      <c r="A55" s="43">
        <v>53</v>
      </c>
      <c r="B55" t="s">
        <v>593</v>
      </c>
      <c r="C55" s="31">
        <v>8</v>
      </c>
      <c r="D55">
        <v>12</v>
      </c>
      <c r="E55" s="31">
        <f t="shared" si="13"/>
        <v>8</v>
      </c>
      <c r="F55">
        <f t="shared" si="6"/>
        <v>2</v>
      </c>
      <c r="G55">
        <f t="shared" si="7"/>
        <v>3</v>
      </c>
      <c r="H55">
        <f t="shared" si="8"/>
        <v>2</v>
      </c>
      <c r="I55" t="s">
        <v>587</v>
      </c>
    </row>
    <row r="56" spans="1:9" x14ac:dyDescent="0.25">
      <c r="A56" s="43">
        <v>54</v>
      </c>
      <c r="B56" t="s">
        <v>594</v>
      </c>
      <c r="C56" s="31">
        <v>9</v>
      </c>
      <c r="D56">
        <v>10</v>
      </c>
      <c r="E56" s="31">
        <f t="shared" si="13"/>
        <v>9</v>
      </c>
      <c r="F56">
        <f t="shared" si="6"/>
        <v>2</v>
      </c>
      <c r="G56">
        <f t="shared" si="7"/>
        <v>2</v>
      </c>
      <c r="H56">
        <f t="shared" si="8"/>
        <v>2</v>
      </c>
      <c r="I56" t="s">
        <v>587</v>
      </c>
    </row>
    <row r="57" spans="1:9" x14ac:dyDescent="0.25">
      <c r="A57" s="43">
        <v>55</v>
      </c>
      <c r="B57" t="s">
        <v>595</v>
      </c>
      <c r="C57" s="31">
        <v>10</v>
      </c>
      <c r="D57">
        <v>12</v>
      </c>
      <c r="E57" s="31">
        <f t="shared" si="13"/>
        <v>10</v>
      </c>
      <c r="F57">
        <f t="shared" si="6"/>
        <v>2</v>
      </c>
      <c r="G57">
        <f t="shared" si="7"/>
        <v>3</v>
      </c>
      <c r="H57">
        <f t="shared" si="8"/>
        <v>2</v>
      </c>
      <c r="I57" t="s">
        <v>587</v>
      </c>
    </row>
    <row r="58" spans="1:9" x14ac:dyDescent="0.25">
      <c r="A58" s="43">
        <v>56</v>
      </c>
      <c r="B58" t="s">
        <v>596</v>
      </c>
      <c r="C58" s="31">
        <v>10</v>
      </c>
      <c r="D58">
        <v>14</v>
      </c>
      <c r="E58" s="31">
        <f t="shared" si="13"/>
        <v>10</v>
      </c>
      <c r="F58">
        <f t="shared" si="6"/>
        <v>2</v>
      </c>
      <c r="G58">
        <f t="shared" si="7"/>
        <v>3</v>
      </c>
      <c r="H58">
        <f t="shared" si="8"/>
        <v>2</v>
      </c>
      <c r="I58" t="s">
        <v>587</v>
      </c>
    </row>
    <row r="59" spans="1:9" x14ac:dyDescent="0.25">
      <c r="A59" s="43">
        <v>57</v>
      </c>
      <c r="B59" t="s">
        <v>597</v>
      </c>
      <c r="C59" s="31">
        <v>13</v>
      </c>
      <c r="D59">
        <v>15</v>
      </c>
      <c r="E59" s="31">
        <f t="shared" si="13"/>
        <v>13</v>
      </c>
      <c r="F59">
        <f t="shared" si="6"/>
        <v>3</v>
      </c>
      <c r="G59">
        <f t="shared" si="7"/>
        <v>3</v>
      </c>
      <c r="H59">
        <f t="shared" si="8"/>
        <v>3</v>
      </c>
      <c r="I59" t="s">
        <v>587</v>
      </c>
    </row>
    <row r="60" spans="1:9" x14ac:dyDescent="0.25">
      <c r="A60" s="43">
        <v>58</v>
      </c>
      <c r="B60" t="s">
        <v>579</v>
      </c>
      <c r="C60" s="31">
        <v>8</v>
      </c>
      <c r="D60">
        <v>20</v>
      </c>
      <c r="E60" s="31">
        <f t="shared" si="13"/>
        <v>8</v>
      </c>
      <c r="F60">
        <f t="shared" si="6"/>
        <v>2</v>
      </c>
      <c r="G60">
        <f t="shared" si="7"/>
        <v>3</v>
      </c>
      <c r="H60">
        <f t="shared" si="8"/>
        <v>2</v>
      </c>
      <c r="I60" t="s">
        <v>587</v>
      </c>
    </row>
    <row r="61" spans="1:9" x14ac:dyDescent="0.25">
      <c r="A61" s="43">
        <v>59</v>
      </c>
      <c r="B61" t="s">
        <v>598</v>
      </c>
      <c r="C61" s="31">
        <v>8</v>
      </c>
      <c r="D61">
        <v>10</v>
      </c>
      <c r="E61" s="31">
        <f t="shared" si="13"/>
        <v>8</v>
      </c>
      <c r="F61">
        <f t="shared" si="6"/>
        <v>2</v>
      </c>
      <c r="G61">
        <f t="shared" si="7"/>
        <v>2</v>
      </c>
      <c r="H61">
        <f t="shared" si="8"/>
        <v>2</v>
      </c>
      <c r="I61" t="s">
        <v>587</v>
      </c>
    </row>
    <row r="62" spans="1:9" x14ac:dyDescent="0.25">
      <c r="A62" s="43">
        <v>60</v>
      </c>
      <c r="B62" t="s">
        <v>599</v>
      </c>
      <c r="C62" s="31">
        <v>10</v>
      </c>
      <c r="D62">
        <v>12</v>
      </c>
      <c r="E62" s="31">
        <f t="shared" si="13"/>
        <v>10</v>
      </c>
      <c r="F62">
        <f t="shared" si="6"/>
        <v>2</v>
      </c>
      <c r="G62">
        <f t="shared" si="7"/>
        <v>3</v>
      </c>
      <c r="H62">
        <f t="shared" si="8"/>
        <v>2</v>
      </c>
      <c r="I62" t="s">
        <v>587</v>
      </c>
    </row>
    <row r="63" spans="1:9" x14ac:dyDescent="0.25">
      <c r="A63" s="43">
        <v>61</v>
      </c>
      <c r="B63" t="s">
        <v>570</v>
      </c>
      <c r="C63" s="31">
        <v>14</v>
      </c>
      <c r="D63">
        <v>18</v>
      </c>
      <c r="E63" s="31">
        <f t="shared" si="13"/>
        <v>14</v>
      </c>
      <c r="F63">
        <f t="shared" si="6"/>
        <v>3</v>
      </c>
      <c r="G63">
        <f t="shared" si="7"/>
        <v>3</v>
      </c>
      <c r="H63">
        <f t="shared" si="8"/>
        <v>3</v>
      </c>
      <c r="I63" t="s">
        <v>587</v>
      </c>
    </row>
    <row r="64" spans="1:9" x14ac:dyDescent="0.25">
      <c r="A64" s="43">
        <v>62</v>
      </c>
      <c r="B64" t="s">
        <v>553</v>
      </c>
      <c r="C64" s="31">
        <v>15</v>
      </c>
      <c r="D64">
        <v>20</v>
      </c>
      <c r="E64" s="31">
        <f t="shared" si="13"/>
        <v>15</v>
      </c>
      <c r="F64">
        <f t="shared" si="6"/>
        <v>3</v>
      </c>
      <c r="G64">
        <f t="shared" si="7"/>
        <v>3</v>
      </c>
      <c r="H64">
        <f t="shared" si="8"/>
        <v>3</v>
      </c>
      <c r="I64" t="s">
        <v>587</v>
      </c>
    </row>
    <row r="65" spans="1:9" x14ac:dyDescent="0.25">
      <c r="A65" s="43">
        <v>63</v>
      </c>
      <c r="B65" t="s">
        <v>600</v>
      </c>
      <c r="C65" s="31">
        <v>6</v>
      </c>
      <c r="D65">
        <v>20</v>
      </c>
      <c r="E65" s="31">
        <f t="shared" si="13"/>
        <v>6</v>
      </c>
      <c r="F65">
        <f t="shared" si="6"/>
        <v>2</v>
      </c>
      <c r="G65">
        <f t="shared" si="7"/>
        <v>3</v>
      </c>
      <c r="H65">
        <f t="shared" si="8"/>
        <v>2</v>
      </c>
      <c r="I65" t="s">
        <v>587</v>
      </c>
    </row>
    <row r="66" spans="1:9" x14ac:dyDescent="0.25">
      <c r="A66" s="43">
        <v>64</v>
      </c>
      <c r="B66" t="s">
        <v>601</v>
      </c>
      <c r="C66" s="31">
        <v>6</v>
      </c>
      <c r="D66">
        <v>8</v>
      </c>
      <c r="E66" s="31">
        <f t="shared" si="13"/>
        <v>6</v>
      </c>
      <c r="F66">
        <f t="shared" si="6"/>
        <v>2</v>
      </c>
      <c r="G66">
        <f t="shared" si="7"/>
        <v>2</v>
      </c>
      <c r="H66">
        <f t="shared" si="8"/>
        <v>2</v>
      </c>
      <c r="I66" t="s">
        <v>587</v>
      </c>
    </row>
    <row r="67" spans="1:9" x14ac:dyDescent="0.25">
      <c r="A67" s="43">
        <v>65</v>
      </c>
      <c r="B67" t="s">
        <v>602</v>
      </c>
      <c r="C67" s="31">
        <v>6</v>
      </c>
      <c r="D67">
        <v>10</v>
      </c>
      <c r="E67" s="31">
        <f t="shared" si="13"/>
        <v>6</v>
      </c>
      <c r="F67">
        <f t="shared" si="6"/>
        <v>2</v>
      </c>
      <c r="G67">
        <f t="shared" si="7"/>
        <v>2</v>
      </c>
      <c r="H67">
        <f t="shared" si="8"/>
        <v>2</v>
      </c>
      <c r="I67" t="s">
        <v>587</v>
      </c>
    </row>
    <row r="68" spans="1:9" x14ac:dyDescent="0.25">
      <c r="A68" s="43">
        <v>66</v>
      </c>
      <c r="B68" t="s">
        <v>603</v>
      </c>
      <c r="C68" s="31">
        <v>8</v>
      </c>
      <c r="D68">
        <v>10</v>
      </c>
      <c r="E68" s="31">
        <f t="shared" si="13"/>
        <v>8</v>
      </c>
      <c r="F68">
        <f t="shared" si="6"/>
        <v>2</v>
      </c>
      <c r="G68">
        <f t="shared" si="7"/>
        <v>2</v>
      </c>
      <c r="H68">
        <f t="shared" si="8"/>
        <v>2</v>
      </c>
      <c r="I68" t="s">
        <v>587</v>
      </c>
    </row>
    <row r="69" spans="1:9" x14ac:dyDescent="0.25">
      <c r="A69" s="43">
        <v>67</v>
      </c>
      <c r="B69" t="s">
        <v>604</v>
      </c>
      <c r="C69" s="31">
        <v>8</v>
      </c>
      <c r="D69">
        <v>12</v>
      </c>
      <c r="E69" s="31">
        <f t="shared" si="13"/>
        <v>8</v>
      </c>
      <c r="F69">
        <f t="shared" si="6"/>
        <v>2</v>
      </c>
      <c r="G69">
        <f t="shared" si="7"/>
        <v>3</v>
      </c>
      <c r="H69">
        <f t="shared" si="8"/>
        <v>2</v>
      </c>
      <c r="I69" t="s">
        <v>587</v>
      </c>
    </row>
    <row r="70" spans="1:9" x14ac:dyDescent="0.25">
      <c r="A70" s="43">
        <v>68</v>
      </c>
      <c r="B70" t="s">
        <v>605</v>
      </c>
      <c r="C70" s="31">
        <v>10</v>
      </c>
      <c r="D70">
        <v>12</v>
      </c>
      <c r="E70" s="31">
        <f t="shared" si="13"/>
        <v>10</v>
      </c>
      <c r="F70">
        <f t="shared" ref="F70:F133" si="14">IF(COUNT(C70)=1, IF(C70&gt;120,6,IF(C70&gt;50,5,IF(C70&gt;24,4,IF(C70&gt;10,3,IF(C70&gt;4,2,IF(C70&gt;1,1,0)))))), "")</f>
        <v>2</v>
      </c>
      <c r="G70">
        <f t="shared" ref="G70:G133" si="15">IF(COUNT(D70)=1, IF(D70&gt;120,6,IF(D70&gt;50,5,IF(D70&gt;24,4,IF(D70&gt;10,3,IF(D70&gt;4,2,IF(D70&gt;1,1,0)))))), "")</f>
        <v>3</v>
      </c>
      <c r="H70">
        <f t="shared" ref="H70:H133" si="16">IF(COUNT(E70)=1, IF(E70&gt;120,6,IF(E70&gt;50,5,IF(E70&gt;24,4,IF(E70&gt;10,3,IF(E70&gt;4,2,IF(E70&gt;1,1,0)))))), "")</f>
        <v>2</v>
      </c>
      <c r="I70" t="s">
        <v>587</v>
      </c>
    </row>
    <row r="71" spans="1:9" x14ac:dyDescent="0.25">
      <c r="A71" s="43">
        <v>69</v>
      </c>
      <c r="B71" t="s">
        <v>551</v>
      </c>
      <c r="C71" s="31">
        <v>12</v>
      </c>
      <c r="D71">
        <v>14</v>
      </c>
      <c r="E71" s="31">
        <f t="shared" si="13"/>
        <v>12</v>
      </c>
      <c r="F71">
        <f t="shared" si="14"/>
        <v>3</v>
      </c>
      <c r="G71">
        <f t="shared" si="15"/>
        <v>3</v>
      </c>
      <c r="H71">
        <f t="shared" si="16"/>
        <v>3</v>
      </c>
      <c r="I71" t="s">
        <v>587</v>
      </c>
    </row>
    <row r="72" spans="1:9" x14ac:dyDescent="0.25">
      <c r="A72" s="43">
        <v>70</v>
      </c>
      <c r="B72" t="s">
        <v>606</v>
      </c>
      <c r="C72" s="31">
        <v>15</v>
      </c>
      <c r="D72">
        <v>20</v>
      </c>
      <c r="E72" s="31">
        <f t="shared" si="13"/>
        <v>15</v>
      </c>
      <c r="F72">
        <f t="shared" si="14"/>
        <v>3</v>
      </c>
      <c r="G72">
        <f t="shared" si="15"/>
        <v>3</v>
      </c>
      <c r="H72">
        <f t="shared" si="16"/>
        <v>3</v>
      </c>
      <c r="I72" t="s">
        <v>587</v>
      </c>
    </row>
    <row r="73" spans="1:9" x14ac:dyDescent="0.25">
      <c r="A73" s="43">
        <v>71</v>
      </c>
      <c r="C73"/>
      <c r="D73" s="31"/>
      <c r="F73" t="str">
        <f t="shared" si="14"/>
        <v/>
      </c>
      <c r="G73" t="str">
        <f t="shared" si="15"/>
        <v/>
      </c>
      <c r="H73" t="str">
        <f t="shared" si="16"/>
        <v/>
      </c>
    </row>
    <row r="74" spans="1:9" x14ac:dyDescent="0.25">
      <c r="A74" s="43">
        <v>72</v>
      </c>
      <c r="B74" s="28" t="s">
        <v>584</v>
      </c>
      <c r="C74" s="31">
        <f>MAX(C47:C72)</f>
        <v>15</v>
      </c>
      <c r="D74" s="31">
        <f>MAX(D47:D72)</f>
        <v>20</v>
      </c>
      <c r="E74" s="31">
        <f t="shared" ref="E74" si="17">MAX(E47:E72)</f>
        <v>15</v>
      </c>
      <c r="F74">
        <f t="shared" si="14"/>
        <v>3</v>
      </c>
      <c r="G74">
        <f t="shared" si="15"/>
        <v>3</v>
      </c>
      <c r="H74">
        <f t="shared" si="16"/>
        <v>3</v>
      </c>
      <c r="I74" t="s">
        <v>587</v>
      </c>
    </row>
    <row r="75" spans="1:9" x14ac:dyDescent="0.25">
      <c r="A75" s="43">
        <v>73</v>
      </c>
      <c r="B75" s="28" t="s">
        <v>585</v>
      </c>
      <c r="C75" s="31">
        <f t="shared" ref="C75:E75" si="18">MIN(C47:C72)</f>
        <v>3</v>
      </c>
      <c r="D75" s="31">
        <f>MIN(D47:D72)</f>
        <v>4</v>
      </c>
      <c r="E75" s="31">
        <f t="shared" si="18"/>
        <v>3</v>
      </c>
      <c r="F75">
        <f t="shared" si="14"/>
        <v>1</v>
      </c>
      <c r="G75">
        <f t="shared" si="15"/>
        <v>1</v>
      </c>
      <c r="H75">
        <f t="shared" si="16"/>
        <v>1</v>
      </c>
      <c r="I75" t="s">
        <v>587</v>
      </c>
    </row>
    <row r="76" spans="1:9" x14ac:dyDescent="0.25">
      <c r="A76" s="43">
        <v>74</v>
      </c>
      <c r="B76" s="28" t="s">
        <v>547</v>
      </c>
      <c r="C76" s="31">
        <f t="shared" ref="C76:E76" si="19">AVERAGE(C47:C72)</f>
        <v>8.615384615384615</v>
      </c>
      <c r="D76" s="31">
        <f>AVERAGE(D47:D72)</f>
        <v>11.807692307692308</v>
      </c>
      <c r="E76" s="31">
        <f t="shared" si="19"/>
        <v>8.615384615384615</v>
      </c>
      <c r="F76">
        <f t="shared" si="14"/>
        <v>2</v>
      </c>
      <c r="G76">
        <f t="shared" si="15"/>
        <v>3</v>
      </c>
      <c r="H76">
        <f t="shared" si="16"/>
        <v>2</v>
      </c>
      <c r="I76" t="s">
        <v>587</v>
      </c>
    </row>
    <row r="77" spans="1:9" x14ac:dyDescent="0.25">
      <c r="A77" s="43">
        <v>75</v>
      </c>
      <c r="F77" t="str">
        <f t="shared" si="14"/>
        <v/>
      </c>
      <c r="G77" t="str">
        <f t="shared" si="15"/>
        <v/>
      </c>
      <c r="H77" t="str">
        <f t="shared" si="16"/>
        <v/>
      </c>
    </row>
    <row r="78" spans="1:9" x14ac:dyDescent="0.25">
      <c r="A78" s="43">
        <v>76</v>
      </c>
      <c r="B78" t="s">
        <v>607</v>
      </c>
      <c r="C78" s="31">
        <v>10</v>
      </c>
      <c r="E78" s="31">
        <f t="shared" ref="E78:E97" si="20">AVERAGE(C78:C78)</f>
        <v>10</v>
      </c>
      <c r="F78">
        <f t="shared" si="14"/>
        <v>2</v>
      </c>
      <c r="G78" t="str">
        <f t="shared" si="15"/>
        <v/>
      </c>
      <c r="H78">
        <f t="shared" si="16"/>
        <v>2</v>
      </c>
      <c r="I78" t="s">
        <v>608</v>
      </c>
    </row>
    <row r="79" spans="1:9" x14ac:dyDescent="0.25">
      <c r="A79" s="43">
        <v>77</v>
      </c>
      <c r="B79" t="s">
        <v>609</v>
      </c>
      <c r="C79" s="31">
        <v>4</v>
      </c>
      <c r="D79">
        <v>15</v>
      </c>
      <c r="E79" s="31">
        <f t="shared" si="20"/>
        <v>4</v>
      </c>
      <c r="F79">
        <f t="shared" si="14"/>
        <v>1</v>
      </c>
      <c r="G79">
        <f t="shared" si="15"/>
        <v>3</v>
      </c>
      <c r="H79">
        <f t="shared" si="16"/>
        <v>1</v>
      </c>
      <c r="I79" t="s">
        <v>608</v>
      </c>
    </row>
    <row r="80" spans="1:9" x14ac:dyDescent="0.25">
      <c r="A80" s="43">
        <v>78</v>
      </c>
      <c r="B80" t="s">
        <v>610</v>
      </c>
      <c r="C80" s="31">
        <v>4</v>
      </c>
      <c r="D80">
        <v>10</v>
      </c>
      <c r="E80" s="31">
        <f t="shared" si="20"/>
        <v>4</v>
      </c>
      <c r="F80">
        <f t="shared" si="14"/>
        <v>1</v>
      </c>
      <c r="G80">
        <f t="shared" si="15"/>
        <v>2</v>
      </c>
      <c r="H80">
        <f t="shared" si="16"/>
        <v>1</v>
      </c>
      <c r="I80" t="s">
        <v>608</v>
      </c>
    </row>
    <row r="81" spans="1:9" x14ac:dyDescent="0.25">
      <c r="A81" s="43">
        <v>79</v>
      </c>
      <c r="B81" t="s">
        <v>611</v>
      </c>
      <c r="C81" s="31">
        <v>4</v>
      </c>
      <c r="E81" s="31">
        <f t="shared" si="20"/>
        <v>4</v>
      </c>
      <c r="F81">
        <f t="shared" si="14"/>
        <v>1</v>
      </c>
      <c r="G81" t="str">
        <f t="shared" si="15"/>
        <v/>
      </c>
      <c r="H81">
        <f t="shared" si="16"/>
        <v>1</v>
      </c>
      <c r="I81" t="s">
        <v>608</v>
      </c>
    </row>
    <row r="82" spans="1:9" x14ac:dyDescent="0.25">
      <c r="A82" s="43">
        <v>80</v>
      </c>
      <c r="B82" t="s">
        <v>555</v>
      </c>
      <c r="C82" s="31">
        <v>15</v>
      </c>
      <c r="D82">
        <v>30</v>
      </c>
      <c r="E82" s="31">
        <f t="shared" si="20"/>
        <v>15</v>
      </c>
      <c r="F82">
        <f t="shared" si="14"/>
        <v>3</v>
      </c>
      <c r="G82">
        <f t="shared" si="15"/>
        <v>4</v>
      </c>
      <c r="H82">
        <f t="shared" si="16"/>
        <v>3</v>
      </c>
      <c r="I82" t="s">
        <v>608</v>
      </c>
    </row>
    <row r="83" spans="1:9" x14ac:dyDescent="0.25">
      <c r="A83" s="43">
        <v>81</v>
      </c>
      <c r="B83" t="s">
        <v>612</v>
      </c>
      <c r="C83" s="31">
        <v>15</v>
      </c>
      <c r="D83">
        <v>20</v>
      </c>
      <c r="E83" s="31">
        <f t="shared" si="20"/>
        <v>15</v>
      </c>
      <c r="F83">
        <f t="shared" si="14"/>
        <v>3</v>
      </c>
      <c r="G83">
        <f t="shared" si="15"/>
        <v>3</v>
      </c>
      <c r="H83">
        <f t="shared" si="16"/>
        <v>3</v>
      </c>
      <c r="I83" t="s">
        <v>608</v>
      </c>
    </row>
    <row r="84" spans="1:9" x14ac:dyDescent="0.25">
      <c r="A84" s="43">
        <v>82</v>
      </c>
      <c r="B84" t="s">
        <v>613</v>
      </c>
      <c r="C84" s="31">
        <v>10</v>
      </c>
      <c r="D84">
        <v>10</v>
      </c>
      <c r="E84" s="31">
        <f t="shared" si="20"/>
        <v>10</v>
      </c>
      <c r="F84">
        <f t="shared" si="14"/>
        <v>2</v>
      </c>
      <c r="G84">
        <f t="shared" si="15"/>
        <v>2</v>
      </c>
      <c r="H84">
        <f t="shared" si="16"/>
        <v>2</v>
      </c>
      <c r="I84" t="s">
        <v>608</v>
      </c>
    </row>
    <row r="85" spans="1:9" x14ac:dyDescent="0.25">
      <c r="A85" s="43">
        <v>83</v>
      </c>
      <c r="B85" t="s">
        <v>614</v>
      </c>
      <c r="C85" s="31">
        <v>4</v>
      </c>
      <c r="D85">
        <v>10</v>
      </c>
      <c r="E85" s="31">
        <f t="shared" si="20"/>
        <v>4</v>
      </c>
      <c r="F85">
        <f t="shared" si="14"/>
        <v>1</v>
      </c>
      <c r="G85">
        <f t="shared" si="15"/>
        <v>2</v>
      </c>
      <c r="H85">
        <f t="shared" si="16"/>
        <v>1</v>
      </c>
      <c r="I85" t="s">
        <v>608</v>
      </c>
    </row>
    <row r="86" spans="1:9" x14ac:dyDescent="0.25">
      <c r="A86" s="43">
        <v>84</v>
      </c>
      <c r="B86" t="s">
        <v>615</v>
      </c>
      <c r="C86" s="31">
        <v>5</v>
      </c>
      <c r="D86">
        <v>15</v>
      </c>
      <c r="E86" s="31">
        <f t="shared" si="20"/>
        <v>5</v>
      </c>
      <c r="F86">
        <f t="shared" si="14"/>
        <v>2</v>
      </c>
      <c r="G86">
        <f t="shared" si="15"/>
        <v>3</v>
      </c>
      <c r="H86">
        <f t="shared" si="16"/>
        <v>2</v>
      </c>
      <c r="I86" t="s">
        <v>608</v>
      </c>
    </row>
    <row r="87" spans="1:9" x14ac:dyDescent="0.25">
      <c r="A87" s="43">
        <v>85</v>
      </c>
      <c r="B87" t="s">
        <v>616</v>
      </c>
      <c r="C87" s="31">
        <v>6</v>
      </c>
      <c r="D87">
        <v>30</v>
      </c>
      <c r="E87" s="31">
        <f t="shared" si="20"/>
        <v>6</v>
      </c>
      <c r="F87">
        <f t="shared" si="14"/>
        <v>2</v>
      </c>
      <c r="G87">
        <f t="shared" si="15"/>
        <v>4</v>
      </c>
      <c r="H87">
        <f t="shared" si="16"/>
        <v>2</v>
      </c>
      <c r="I87" t="s">
        <v>608</v>
      </c>
    </row>
    <row r="88" spans="1:9" x14ac:dyDescent="0.25">
      <c r="A88" s="43">
        <v>86</v>
      </c>
      <c r="B88" t="s">
        <v>569</v>
      </c>
      <c r="C88" s="31">
        <v>6</v>
      </c>
      <c r="D88">
        <v>30</v>
      </c>
      <c r="E88" s="31">
        <f t="shared" si="20"/>
        <v>6</v>
      </c>
      <c r="F88">
        <f t="shared" si="14"/>
        <v>2</v>
      </c>
      <c r="G88">
        <f t="shared" si="15"/>
        <v>4</v>
      </c>
      <c r="H88">
        <f t="shared" si="16"/>
        <v>2</v>
      </c>
      <c r="I88" t="s">
        <v>608</v>
      </c>
    </row>
    <row r="89" spans="1:9" x14ac:dyDescent="0.25">
      <c r="A89" s="43">
        <v>87</v>
      </c>
      <c r="B89" t="s">
        <v>617</v>
      </c>
      <c r="C89" s="31">
        <v>12</v>
      </c>
      <c r="D89">
        <v>15</v>
      </c>
      <c r="E89" s="31">
        <f t="shared" si="20"/>
        <v>12</v>
      </c>
      <c r="F89">
        <f t="shared" si="14"/>
        <v>3</v>
      </c>
      <c r="G89">
        <f t="shared" si="15"/>
        <v>3</v>
      </c>
      <c r="H89">
        <f t="shared" si="16"/>
        <v>3</v>
      </c>
      <c r="I89" t="s">
        <v>608</v>
      </c>
    </row>
    <row r="90" spans="1:9" x14ac:dyDescent="0.25">
      <c r="A90" s="43">
        <v>88</v>
      </c>
      <c r="B90" t="s">
        <v>618</v>
      </c>
      <c r="C90" s="31">
        <v>12</v>
      </c>
      <c r="D90">
        <v>30</v>
      </c>
      <c r="E90" s="31">
        <f t="shared" si="20"/>
        <v>12</v>
      </c>
      <c r="F90">
        <f t="shared" si="14"/>
        <v>3</v>
      </c>
      <c r="G90">
        <f t="shared" si="15"/>
        <v>4</v>
      </c>
      <c r="H90">
        <f t="shared" si="16"/>
        <v>3</v>
      </c>
      <c r="I90" t="s">
        <v>608</v>
      </c>
    </row>
    <row r="91" spans="1:9" x14ac:dyDescent="0.25">
      <c r="A91" s="43">
        <v>89</v>
      </c>
      <c r="B91" t="s">
        <v>619</v>
      </c>
      <c r="C91" s="31">
        <v>5</v>
      </c>
      <c r="D91">
        <v>10</v>
      </c>
      <c r="E91" s="31">
        <f t="shared" si="20"/>
        <v>5</v>
      </c>
      <c r="F91">
        <f t="shared" si="14"/>
        <v>2</v>
      </c>
      <c r="G91">
        <f t="shared" si="15"/>
        <v>2</v>
      </c>
      <c r="H91">
        <f t="shared" si="16"/>
        <v>2</v>
      </c>
      <c r="I91" t="s">
        <v>608</v>
      </c>
    </row>
    <row r="92" spans="1:9" x14ac:dyDescent="0.25">
      <c r="A92" s="43">
        <v>90</v>
      </c>
      <c r="B92" t="s">
        <v>620</v>
      </c>
      <c r="C92" s="31">
        <v>10</v>
      </c>
      <c r="D92">
        <v>20</v>
      </c>
      <c r="E92" s="31">
        <f t="shared" si="20"/>
        <v>10</v>
      </c>
      <c r="F92">
        <f t="shared" si="14"/>
        <v>2</v>
      </c>
      <c r="G92">
        <f t="shared" si="15"/>
        <v>3</v>
      </c>
      <c r="H92">
        <f t="shared" si="16"/>
        <v>2</v>
      </c>
      <c r="I92" t="s">
        <v>608</v>
      </c>
    </row>
    <row r="93" spans="1:9" x14ac:dyDescent="0.25">
      <c r="A93" s="43">
        <v>91</v>
      </c>
      <c r="B93" t="s">
        <v>621</v>
      </c>
      <c r="C93" s="31">
        <v>8</v>
      </c>
      <c r="D93">
        <v>12</v>
      </c>
      <c r="E93" s="31">
        <f t="shared" si="20"/>
        <v>8</v>
      </c>
      <c r="F93">
        <f t="shared" si="14"/>
        <v>2</v>
      </c>
      <c r="G93">
        <f t="shared" si="15"/>
        <v>3</v>
      </c>
      <c r="H93">
        <f t="shared" si="16"/>
        <v>2</v>
      </c>
      <c r="I93" t="s">
        <v>608</v>
      </c>
    </row>
    <row r="94" spans="1:9" x14ac:dyDescent="0.25">
      <c r="A94" s="43">
        <v>92</v>
      </c>
      <c r="B94" t="s">
        <v>622</v>
      </c>
      <c r="C94" s="31">
        <v>4</v>
      </c>
      <c r="D94">
        <v>10</v>
      </c>
      <c r="E94" s="31">
        <f t="shared" si="20"/>
        <v>4</v>
      </c>
      <c r="F94">
        <f t="shared" si="14"/>
        <v>1</v>
      </c>
      <c r="G94">
        <f t="shared" si="15"/>
        <v>2</v>
      </c>
      <c r="H94">
        <f t="shared" si="16"/>
        <v>1</v>
      </c>
      <c r="I94" t="s">
        <v>608</v>
      </c>
    </row>
    <row r="95" spans="1:9" x14ac:dyDescent="0.25">
      <c r="A95" s="43">
        <v>93</v>
      </c>
      <c r="B95" t="s">
        <v>623</v>
      </c>
      <c r="C95" s="31">
        <v>4</v>
      </c>
      <c r="D95">
        <v>10</v>
      </c>
      <c r="E95" s="31">
        <f t="shared" si="20"/>
        <v>4</v>
      </c>
      <c r="F95">
        <f t="shared" si="14"/>
        <v>1</v>
      </c>
      <c r="G95">
        <f t="shared" si="15"/>
        <v>2</v>
      </c>
      <c r="H95">
        <f t="shared" si="16"/>
        <v>1</v>
      </c>
      <c r="I95" t="s">
        <v>608</v>
      </c>
    </row>
    <row r="96" spans="1:9" x14ac:dyDescent="0.25">
      <c r="A96" s="43">
        <v>94</v>
      </c>
      <c r="B96" t="s">
        <v>624</v>
      </c>
      <c r="C96" s="31">
        <v>8</v>
      </c>
      <c r="E96" s="31">
        <f t="shared" si="20"/>
        <v>8</v>
      </c>
      <c r="F96">
        <f t="shared" si="14"/>
        <v>2</v>
      </c>
      <c r="G96" t="str">
        <f t="shared" si="15"/>
        <v/>
      </c>
      <c r="H96">
        <f t="shared" si="16"/>
        <v>2</v>
      </c>
      <c r="I96" t="s">
        <v>608</v>
      </c>
    </row>
    <row r="97" spans="1:10" x14ac:dyDescent="0.25">
      <c r="A97" s="43">
        <v>95</v>
      </c>
      <c r="B97" t="s">
        <v>625</v>
      </c>
      <c r="C97" s="31">
        <v>6</v>
      </c>
      <c r="D97">
        <v>15</v>
      </c>
      <c r="E97" s="31">
        <f t="shared" si="20"/>
        <v>6</v>
      </c>
      <c r="F97">
        <f t="shared" si="14"/>
        <v>2</v>
      </c>
      <c r="G97">
        <f t="shared" si="15"/>
        <v>3</v>
      </c>
      <c r="H97">
        <f t="shared" si="16"/>
        <v>2</v>
      </c>
      <c r="I97" t="s">
        <v>608</v>
      </c>
    </row>
    <row r="98" spans="1:10" x14ac:dyDescent="0.25">
      <c r="A98" s="43">
        <v>96</v>
      </c>
      <c r="F98" t="str">
        <f t="shared" si="14"/>
        <v/>
      </c>
      <c r="G98" t="str">
        <f t="shared" si="15"/>
        <v/>
      </c>
      <c r="H98" t="str">
        <f t="shared" si="16"/>
        <v/>
      </c>
    </row>
    <row r="99" spans="1:10" x14ac:dyDescent="0.25">
      <c r="A99" s="43">
        <v>97</v>
      </c>
      <c r="B99" s="28" t="s">
        <v>584</v>
      </c>
      <c r="C99" s="31">
        <f>MAX(C78:C97)</f>
        <v>15</v>
      </c>
      <c r="D99" s="31">
        <f t="shared" ref="D99:E99" si="21">MAX(D78:D97)</f>
        <v>30</v>
      </c>
      <c r="E99" s="31">
        <f t="shared" si="21"/>
        <v>15</v>
      </c>
      <c r="F99">
        <f t="shared" si="14"/>
        <v>3</v>
      </c>
      <c r="G99">
        <f t="shared" si="15"/>
        <v>4</v>
      </c>
      <c r="H99">
        <f t="shared" si="16"/>
        <v>3</v>
      </c>
      <c r="I99" t="s">
        <v>608</v>
      </c>
    </row>
    <row r="100" spans="1:10" x14ac:dyDescent="0.25">
      <c r="A100" s="43">
        <v>98</v>
      </c>
      <c r="B100" s="28" t="s">
        <v>585</v>
      </c>
      <c r="C100" s="31">
        <f>MIN(C78:C97)</f>
        <v>4</v>
      </c>
      <c r="D100" s="31">
        <f t="shared" ref="D100:E100" si="22">MIN(D78:D97)</f>
        <v>10</v>
      </c>
      <c r="E100" s="31">
        <f t="shared" si="22"/>
        <v>4</v>
      </c>
      <c r="F100">
        <f t="shared" si="14"/>
        <v>1</v>
      </c>
      <c r="G100">
        <f t="shared" si="15"/>
        <v>2</v>
      </c>
      <c r="H100">
        <f t="shared" si="16"/>
        <v>1</v>
      </c>
      <c r="I100" t="s">
        <v>608</v>
      </c>
    </row>
    <row r="101" spans="1:10" x14ac:dyDescent="0.25">
      <c r="A101" s="43">
        <v>99</v>
      </c>
      <c r="B101" s="28" t="s">
        <v>547</v>
      </c>
      <c r="C101" s="31">
        <f>AVERAGE(C78:C97)</f>
        <v>7.6</v>
      </c>
      <c r="D101" s="31">
        <f t="shared" ref="D101:E101" si="23">AVERAGE(D78:D97)</f>
        <v>17.176470588235293</v>
      </c>
      <c r="E101" s="31">
        <f t="shared" si="23"/>
        <v>7.6</v>
      </c>
      <c r="F101">
        <f t="shared" si="14"/>
        <v>2</v>
      </c>
      <c r="G101">
        <f t="shared" si="15"/>
        <v>3</v>
      </c>
      <c r="H101">
        <f t="shared" si="16"/>
        <v>2</v>
      </c>
      <c r="I101" t="s">
        <v>608</v>
      </c>
    </row>
    <row r="102" spans="1:10" x14ac:dyDescent="0.25">
      <c r="A102" s="43">
        <v>100</v>
      </c>
      <c r="F102" t="str">
        <f t="shared" si="14"/>
        <v/>
      </c>
      <c r="G102" t="str">
        <f t="shared" si="15"/>
        <v/>
      </c>
      <c r="H102" t="str">
        <f t="shared" si="16"/>
        <v/>
      </c>
    </row>
    <row r="103" spans="1:10" x14ac:dyDescent="0.25">
      <c r="A103" s="43">
        <v>101</v>
      </c>
      <c r="B103" t="s">
        <v>626</v>
      </c>
      <c r="C103" s="31">
        <v>5</v>
      </c>
      <c r="E103" s="31">
        <f t="shared" ref="E103:E166" si="24">AVERAGE(C103:C103)</f>
        <v>5</v>
      </c>
      <c r="F103">
        <f t="shared" si="14"/>
        <v>2</v>
      </c>
      <c r="G103" t="str">
        <f t="shared" si="15"/>
        <v/>
      </c>
      <c r="H103">
        <f t="shared" si="16"/>
        <v>2</v>
      </c>
      <c r="I103" t="s">
        <v>3662</v>
      </c>
      <c r="J103" t="s">
        <v>3654</v>
      </c>
    </row>
    <row r="104" spans="1:10" x14ac:dyDescent="0.25">
      <c r="A104" s="43">
        <v>102</v>
      </c>
      <c r="B104" t="s">
        <v>627</v>
      </c>
      <c r="C104" s="31">
        <v>12</v>
      </c>
      <c r="D104">
        <v>16</v>
      </c>
      <c r="E104" s="31">
        <f t="shared" si="24"/>
        <v>12</v>
      </c>
      <c r="F104">
        <f t="shared" si="14"/>
        <v>3</v>
      </c>
      <c r="G104">
        <f t="shared" si="15"/>
        <v>3</v>
      </c>
      <c r="H104">
        <f t="shared" si="16"/>
        <v>3</v>
      </c>
      <c r="I104" t="s">
        <v>3662</v>
      </c>
    </row>
    <row r="105" spans="1:10" x14ac:dyDescent="0.25">
      <c r="A105" s="43">
        <v>103</v>
      </c>
      <c r="B105" t="s">
        <v>628</v>
      </c>
      <c r="C105" s="31">
        <v>6</v>
      </c>
      <c r="D105">
        <v>8</v>
      </c>
      <c r="E105" s="31">
        <f t="shared" si="24"/>
        <v>6</v>
      </c>
      <c r="F105">
        <f t="shared" si="14"/>
        <v>2</v>
      </c>
      <c r="G105">
        <f t="shared" si="15"/>
        <v>2</v>
      </c>
      <c r="H105">
        <f t="shared" si="16"/>
        <v>2</v>
      </c>
      <c r="I105" t="s">
        <v>3662</v>
      </c>
    </row>
    <row r="106" spans="1:10" x14ac:dyDescent="0.25">
      <c r="A106" s="43">
        <v>104</v>
      </c>
      <c r="B106" t="s">
        <v>629</v>
      </c>
      <c r="C106" s="31">
        <v>12</v>
      </c>
      <c r="D106">
        <v>15</v>
      </c>
      <c r="E106" s="31">
        <f t="shared" si="24"/>
        <v>12</v>
      </c>
      <c r="F106">
        <f t="shared" si="14"/>
        <v>3</v>
      </c>
      <c r="G106">
        <f t="shared" si="15"/>
        <v>3</v>
      </c>
      <c r="H106">
        <f t="shared" si="16"/>
        <v>3</v>
      </c>
      <c r="I106" t="s">
        <v>3662</v>
      </c>
    </row>
    <row r="107" spans="1:10" x14ac:dyDescent="0.25">
      <c r="A107" s="43">
        <v>105</v>
      </c>
      <c r="B107" t="s">
        <v>609</v>
      </c>
      <c r="C107" s="31">
        <v>8</v>
      </c>
      <c r="D107">
        <v>15</v>
      </c>
      <c r="E107" s="31">
        <f t="shared" si="24"/>
        <v>8</v>
      </c>
      <c r="F107">
        <f t="shared" si="14"/>
        <v>2</v>
      </c>
      <c r="G107">
        <f t="shared" si="15"/>
        <v>3</v>
      </c>
      <c r="H107">
        <f t="shared" si="16"/>
        <v>2</v>
      </c>
      <c r="I107" t="s">
        <v>3662</v>
      </c>
    </row>
    <row r="108" spans="1:10" x14ac:dyDescent="0.25">
      <c r="A108" s="43">
        <v>106</v>
      </c>
      <c r="B108" t="s">
        <v>630</v>
      </c>
      <c r="C108" s="31">
        <v>20</v>
      </c>
      <c r="D108">
        <v>30</v>
      </c>
      <c r="E108" s="31">
        <f t="shared" si="24"/>
        <v>20</v>
      </c>
      <c r="F108">
        <f t="shared" si="14"/>
        <v>3</v>
      </c>
      <c r="G108">
        <f t="shared" si="15"/>
        <v>4</v>
      </c>
      <c r="H108">
        <f t="shared" si="16"/>
        <v>3</v>
      </c>
      <c r="I108" t="s">
        <v>3662</v>
      </c>
    </row>
    <row r="109" spans="1:10" x14ac:dyDescent="0.25">
      <c r="A109" s="43">
        <v>107</v>
      </c>
      <c r="B109" t="s">
        <v>610</v>
      </c>
      <c r="C109" s="31">
        <v>5</v>
      </c>
      <c r="D109">
        <v>10</v>
      </c>
      <c r="E109" s="31">
        <f t="shared" si="24"/>
        <v>5</v>
      </c>
      <c r="F109">
        <f t="shared" si="14"/>
        <v>2</v>
      </c>
      <c r="G109">
        <f t="shared" si="15"/>
        <v>2</v>
      </c>
      <c r="H109">
        <f t="shared" si="16"/>
        <v>2</v>
      </c>
      <c r="I109" t="s">
        <v>3662</v>
      </c>
    </row>
    <row r="110" spans="1:10" x14ac:dyDescent="0.25">
      <c r="A110" s="43">
        <v>108</v>
      </c>
      <c r="B110" t="s">
        <v>631</v>
      </c>
      <c r="C110" s="31">
        <v>6</v>
      </c>
      <c r="E110" s="31">
        <f t="shared" si="24"/>
        <v>6</v>
      </c>
      <c r="F110">
        <f t="shared" si="14"/>
        <v>2</v>
      </c>
      <c r="G110" t="str">
        <f t="shared" si="15"/>
        <v/>
      </c>
      <c r="H110">
        <f t="shared" si="16"/>
        <v>2</v>
      </c>
      <c r="I110" t="s">
        <v>3662</v>
      </c>
    </row>
    <row r="111" spans="1:10" x14ac:dyDescent="0.25">
      <c r="A111" s="43">
        <v>109</v>
      </c>
      <c r="B111" t="s">
        <v>632</v>
      </c>
      <c r="C111" s="31">
        <v>10</v>
      </c>
      <c r="D111">
        <v>14</v>
      </c>
      <c r="E111" s="31">
        <f t="shared" si="24"/>
        <v>10</v>
      </c>
      <c r="F111">
        <f t="shared" si="14"/>
        <v>2</v>
      </c>
      <c r="G111">
        <f t="shared" si="15"/>
        <v>3</v>
      </c>
      <c r="H111">
        <f t="shared" si="16"/>
        <v>2</v>
      </c>
      <c r="I111" t="s">
        <v>3662</v>
      </c>
    </row>
    <row r="112" spans="1:10" x14ac:dyDescent="0.25">
      <c r="A112" s="43">
        <v>110</v>
      </c>
      <c r="B112" t="s">
        <v>633</v>
      </c>
      <c r="C112" s="31">
        <v>20</v>
      </c>
      <c r="D112">
        <v>30</v>
      </c>
      <c r="E112" s="31">
        <f t="shared" si="24"/>
        <v>20</v>
      </c>
      <c r="F112">
        <f t="shared" si="14"/>
        <v>3</v>
      </c>
      <c r="G112">
        <f t="shared" si="15"/>
        <v>4</v>
      </c>
      <c r="H112">
        <f t="shared" si="16"/>
        <v>3</v>
      </c>
      <c r="I112" t="s">
        <v>3662</v>
      </c>
    </row>
    <row r="113" spans="1:9" x14ac:dyDescent="0.25">
      <c r="A113" s="43">
        <v>111</v>
      </c>
      <c r="B113" t="s">
        <v>634</v>
      </c>
      <c r="C113" s="31">
        <v>18</v>
      </c>
      <c r="D113">
        <v>24</v>
      </c>
      <c r="E113" s="31">
        <f t="shared" si="24"/>
        <v>18</v>
      </c>
      <c r="F113">
        <f t="shared" si="14"/>
        <v>3</v>
      </c>
      <c r="G113">
        <f t="shared" si="15"/>
        <v>3</v>
      </c>
      <c r="H113">
        <f t="shared" si="16"/>
        <v>3</v>
      </c>
      <c r="I113" t="s">
        <v>3662</v>
      </c>
    </row>
    <row r="114" spans="1:9" x14ac:dyDescent="0.25">
      <c r="A114" s="43">
        <v>112</v>
      </c>
      <c r="B114" t="s">
        <v>588</v>
      </c>
      <c r="C114" s="31">
        <v>4</v>
      </c>
      <c r="D114">
        <v>8</v>
      </c>
      <c r="E114" s="31">
        <f t="shared" si="24"/>
        <v>4</v>
      </c>
      <c r="F114">
        <f t="shared" si="14"/>
        <v>1</v>
      </c>
      <c r="G114">
        <f t="shared" si="15"/>
        <v>2</v>
      </c>
      <c r="H114">
        <f t="shared" si="16"/>
        <v>1</v>
      </c>
      <c r="I114" t="s">
        <v>3662</v>
      </c>
    </row>
    <row r="115" spans="1:9" x14ac:dyDescent="0.25">
      <c r="A115" s="43">
        <v>113</v>
      </c>
      <c r="B115" t="s">
        <v>635</v>
      </c>
      <c r="C115" s="31">
        <v>15</v>
      </c>
      <c r="D115">
        <v>20</v>
      </c>
      <c r="E115" s="31">
        <f t="shared" si="24"/>
        <v>15</v>
      </c>
      <c r="F115">
        <f t="shared" si="14"/>
        <v>3</v>
      </c>
      <c r="G115">
        <f t="shared" si="15"/>
        <v>3</v>
      </c>
      <c r="H115">
        <f t="shared" si="16"/>
        <v>3</v>
      </c>
      <c r="I115" t="s">
        <v>3662</v>
      </c>
    </row>
    <row r="116" spans="1:9" x14ac:dyDescent="0.25">
      <c r="A116" s="43">
        <v>114</v>
      </c>
      <c r="B116" t="s">
        <v>636</v>
      </c>
      <c r="C116" s="31">
        <v>14</v>
      </c>
      <c r="D116">
        <v>20</v>
      </c>
      <c r="E116" s="31">
        <f t="shared" si="24"/>
        <v>14</v>
      </c>
      <c r="F116">
        <f t="shared" si="14"/>
        <v>3</v>
      </c>
      <c r="G116">
        <f t="shared" si="15"/>
        <v>3</v>
      </c>
      <c r="H116">
        <f t="shared" si="16"/>
        <v>3</v>
      </c>
      <c r="I116" t="s">
        <v>3662</v>
      </c>
    </row>
    <row r="117" spans="1:9" x14ac:dyDescent="0.25">
      <c r="A117" s="43">
        <v>115</v>
      </c>
      <c r="B117" t="s">
        <v>637</v>
      </c>
      <c r="C117" s="31">
        <v>12</v>
      </c>
      <c r="D117">
        <v>15</v>
      </c>
      <c r="E117" s="31">
        <f t="shared" si="24"/>
        <v>12</v>
      </c>
      <c r="F117">
        <f t="shared" si="14"/>
        <v>3</v>
      </c>
      <c r="G117">
        <f t="shared" si="15"/>
        <v>3</v>
      </c>
      <c r="H117">
        <f t="shared" si="16"/>
        <v>3</v>
      </c>
      <c r="I117" t="s">
        <v>3662</v>
      </c>
    </row>
    <row r="118" spans="1:9" x14ac:dyDescent="0.25">
      <c r="A118" s="43">
        <v>116</v>
      </c>
      <c r="B118" t="s">
        <v>638</v>
      </c>
      <c r="C118" s="31">
        <v>14</v>
      </c>
      <c r="D118">
        <v>18</v>
      </c>
      <c r="E118" s="31">
        <f t="shared" si="24"/>
        <v>14</v>
      </c>
      <c r="F118">
        <f t="shared" si="14"/>
        <v>3</v>
      </c>
      <c r="G118">
        <f t="shared" si="15"/>
        <v>3</v>
      </c>
      <c r="H118">
        <f t="shared" si="16"/>
        <v>3</v>
      </c>
      <c r="I118" t="s">
        <v>3662</v>
      </c>
    </row>
    <row r="119" spans="1:9" x14ac:dyDescent="0.25">
      <c r="A119" s="43">
        <v>117</v>
      </c>
      <c r="B119" t="s">
        <v>639</v>
      </c>
      <c r="C119" s="31">
        <v>20</v>
      </c>
      <c r="D119">
        <v>30</v>
      </c>
      <c r="E119" s="31">
        <f t="shared" si="24"/>
        <v>20</v>
      </c>
      <c r="F119">
        <f t="shared" si="14"/>
        <v>3</v>
      </c>
      <c r="G119">
        <f t="shared" si="15"/>
        <v>4</v>
      </c>
      <c r="H119">
        <f t="shared" si="16"/>
        <v>3</v>
      </c>
      <c r="I119" t="s">
        <v>3662</v>
      </c>
    </row>
    <row r="120" spans="1:9" x14ac:dyDescent="0.25">
      <c r="A120" s="43">
        <v>118</v>
      </c>
      <c r="B120" t="s">
        <v>640</v>
      </c>
      <c r="C120" s="31">
        <v>16</v>
      </c>
      <c r="D120">
        <v>20</v>
      </c>
      <c r="E120" s="31">
        <f t="shared" si="24"/>
        <v>16</v>
      </c>
      <c r="F120">
        <f t="shared" si="14"/>
        <v>3</v>
      </c>
      <c r="G120">
        <f t="shared" si="15"/>
        <v>3</v>
      </c>
      <c r="H120">
        <f t="shared" si="16"/>
        <v>3</v>
      </c>
      <c r="I120" t="s">
        <v>3662</v>
      </c>
    </row>
    <row r="121" spans="1:9" x14ac:dyDescent="0.25">
      <c r="A121" s="43">
        <v>119</v>
      </c>
      <c r="B121" t="s">
        <v>641</v>
      </c>
      <c r="C121" s="31">
        <v>12</v>
      </c>
      <c r="D121">
        <v>16</v>
      </c>
      <c r="E121" s="31">
        <f t="shared" si="24"/>
        <v>12</v>
      </c>
      <c r="F121">
        <f t="shared" si="14"/>
        <v>3</v>
      </c>
      <c r="G121">
        <f t="shared" si="15"/>
        <v>3</v>
      </c>
      <c r="H121">
        <f t="shared" si="16"/>
        <v>3</v>
      </c>
      <c r="I121" t="s">
        <v>3662</v>
      </c>
    </row>
    <row r="122" spans="1:9" x14ac:dyDescent="0.25">
      <c r="A122" s="43">
        <v>120</v>
      </c>
      <c r="B122" t="s">
        <v>642</v>
      </c>
      <c r="C122" s="31">
        <v>16</v>
      </c>
      <c r="D122">
        <v>20</v>
      </c>
      <c r="E122" s="31">
        <f t="shared" si="24"/>
        <v>16</v>
      </c>
      <c r="F122">
        <f t="shared" si="14"/>
        <v>3</v>
      </c>
      <c r="G122">
        <f t="shared" si="15"/>
        <v>3</v>
      </c>
      <c r="H122">
        <f t="shared" si="16"/>
        <v>3</v>
      </c>
      <c r="I122" t="s">
        <v>3662</v>
      </c>
    </row>
    <row r="123" spans="1:9" x14ac:dyDescent="0.25">
      <c r="A123" s="43">
        <v>121</v>
      </c>
      <c r="B123" t="s">
        <v>643</v>
      </c>
      <c r="C123" s="31">
        <v>16</v>
      </c>
      <c r="D123">
        <v>20</v>
      </c>
      <c r="E123" s="31">
        <f t="shared" si="24"/>
        <v>16</v>
      </c>
      <c r="F123">
        <f t="shared" si="14"/>
        <v>3</v>
      </c>
      <c r="G123">
        <f t="shared" si="15"/>
        <v>3</v>
      </c>
      <c r="H123">
        <f t="shared" si="16"/>
        <v>3</v>
      </c>
      <c r="I123" t="s">
        <v>3662</v>
      </c>
    </row>
    <row r="124" spans="1:9" x14ac:dyDescent="0.25">
      <c r="A124" s="43">
        <v>122</v>
      </c>
      <c r="B124" t="s">
        <v>604</v>
      </c>
      <c r="C124" s="31">
        <v>8</v>
      </c>
      <c r="D124">
        <v>15</v>
      </c>
      <c r="E124" s="31">
        <f t="shared" si="24"/>
        <v>8</v>
      </c>
      <c r="F124">
        <f t="shared" si="14"/>
        <v>2</v>
      </c>
      <c r="G124">
        <f t="shared" si="15"/>
        <v>3</v>
      </c>
      <c r="H124">
        <f t="shared" si="16"/>
        <v>2</v>
      </c>
      <c r="I124" t="s">
        <v>3662</v>
      </c>
    </row>
    <row r="125" spans="1:9" x14ac:dyDescent="0.25">
      <c r="A125" s="43">
        <v>123</v>
      </c>
      <c r="B125" t="s">
        <v>644</v>
      </c>
      <c r="C125" s="31">
        <v>20</v>
      </c>
      <c r="D125">
        <v>30</v>
      </c>
      <c r="E125" s="31">
        <f t="shared" si="24"/>
        <v>20</v>
      </c>
      <c r="F125">
        <f t="shared" si="14"/>
        <v>3</v>
      </c>
      <c r="G125">
        <f t="shared" si="15"/>
        <v>4</v>
      </c>
      <c r="H125">
        <f t="shared" si="16"/>
        <v>3</v>
      </c>
      <c r="I125" t="s">
        <v>3662</v>
      </c>
    </row>
    <row r="126" spans="1:9" x14ac:dyDescent="0.25">
      <c r="A126" s="43">
        <v>124</v>
      </c>
      <c r="B126" t="s">
        <v>645</v>
      </c>
      <c r="C126" s="31">
        <v>12</v>
      </c>
      <c r="E126" s="31">
        <f t="shared" si="24"/>
        <v>12</v>
      </c>
      <c r="F126">
        <f t="shared" si="14"/>
        <v>3</v>
      </c>
      <c r="G126" t="str">
        <f t="shared" si="15"/>
        <v/>
      </c>
      <c r="H126">
        <f t="shared" si="16"/>
        <v>3</v>
      </c>
      <c r="I126" t="s">
        <v>3662</v>
      </c>
    </row>
    <row r="127" spans="1:9" x14ac:dyDescent="0.25">
      <c r="A127" s="43">
        <v>125</v>
      </c>
      <c r="B127" t="s">
        <v>646</v>
      </c>
      <c r="C127" s="31">
        <v>20</v>
      </c>
      <c r="D127">
        <v>30</v>
      </c>
      <c r="E127" s="31">
        <f t="shared" si="24"/>
        <v>20</v>
      </c>
      <c r="F127">
        <f t="shared" si="14"/>
        <v>3</v>
      </c>
      <c r="G127">
        <f t="shared" si="15"/>
        <v>4</v>
      </c>
      <c r="H127">
        <f t="shared" si="16"/>
        <v>3</v>
      </c>
      <c r="I127" t="s">
        <v>3662</v>
      </c>
    </row>
    <row r="128" spans="1:9" x14ac:dyDescent="0.25">
      <c r="A128" s="43">
        <v>126</v>
      </c>
      <c r="B128" t="s">
        <v>647</v>
      </c>
      <c r="C128" s="31">
        <v>24</v>
      </c>
      <c r="D128">
        <v>20</v>
      </c>
      <c r="E128" s="31">
        <f t="shared" si="24"/>
        <v>24</v>
      </c>
      <c r="F128">
        <f t="shared" si="14"/>
        <v>3</v>
      </c>
      <c r="G128">
        <f t="shared" si="15"/>
        <v>3</v>
      </c>
      <c r="H128">
        <f t="shared" si="16"/>
        <v>3</v>
      </c>
      <c r="I128" t="s">
        <v>3662</v>
      </c>
    </row>
    <row r="129" spans="1:9" x14ac:dyDescent="0.25">
      <c r="A129" s="43">
        <v>127</v>
      </c>
      <c r="B129" t="s">
        <v>648</v>
      </c>
      <c r="C129" s="31">
        <v>11</v>
      </c>
      <c r="D129">
        <v>13</v>
      </c>
      <c r="E129" s="31">
        <f t="shared" si="24"/>
        <v>11</v>
      </c>
      <c r="F129">
        <f t="shared" si="14"/>
        <v>3</v>
      </c>
      <c r="G129">
        <f t="shared" si="15"/>
        <v>3</v>
      </c>
      <c r="H129">
        <f t="shared" si="16"/>
        <v>3</v>
      </c>
      <c r="I129" t="s">
        <v>3662</v>
      </c>
    </row>
    <row r="130" spans="1:9" x14ac:dyDescent="0.25">
      <c r="A130" s="43">
        <v>128</v>
      </c>
      <c r="B130" t="s">
        <v>649</v>
      </c>
      <c r="C130" s="31">
        <v>20</v>
      </c>
      <c r="D130">
        <v>30</v>
      </c>
      <c r="E130" s="31">
        <f t="shared" si="24"/>
        <v>20</v>
      </c>
      <c r="F130">
        <f t="shared" si="14"/>
        <v>3</v>
      </c>
      <c r="G130">
        <f t="shared" si="15"/>
        <v>4</v>
      </c>
      <c r="H130">
        <f t="shared" si="16"/>
        <v>3</v>
      </c>
      <c r="I130" t="s">
        <v>3662</v>
      </c>
    </row>
    <row r="131" spans="1:9" x14ac:dyDescent="0.25">
      <c r="A131" s="43">
        <v>129</v>
      </c>
      <c r="B131" t="s">
        <v>650</v>
      </c>
      <c r="C131" s="31">
        <v>8</v>
      </c>
      <c r="D131">
        <v>12</v>
      </c>
      <c r="E131" s="31">
        <f t="shared" si="24"/>
        <v>8</v>
      </c>
      <c r="F131">
        <f t="shared" si="14"/>
        <v>2</v>
      </c>
      <c r="G131">
        <f t="shared" si="15"/>
        <v>3</v>
      </c>
      <c r="H131">
        <f t="shared" si="16"/>
        <v>2</v>
      </c>
      <c r="I131" t="s">
        <v>3662</v>
      </c>
    </row>
    <row r="132" spans="1:9" x14ac:dyDescent="0.25">
      <c r="A132" s="43">
        <v>130</v>
      </c>
      <c r="B132" t="s">
        <v>651</v>
      </c>
      <c r="C132" s="31">
        <v>24</v>
      </c>
      <c r="D132">
        <v>30</v>
      </c>
      <c r="E132" s="31">
        <f t="shared" si="24"/>
        <v>24</v>
      </c>
      <c r="F132">
        <f t="shared" si="14"/>
        <v>3</v>
      </c>
      <c r="G132">
        <f t="shared" si="15"/>
        <v>4</v>
      </c>
      <c r="H132">
        <f t="shared" si="16"/>
        <v>3</v>
      </c>
      <c r="I132" t="s">
        <v>3662</v>
      </c>
    </row>
    <row r="133" spans="1:9" x14ac:dyDescent="0.25">
      <c r="A133" s="43">
        <v>131</v>
      </c>
      <c r="B133" t="s">
        <v>652</v>
      </c>
      <c r="C133" s="31">
        <v>22</v>
      </c>
      <c r="D133">
        <v>26</v>
      </c>
      <c r="E133" s="31">
        <f t="shared" si="24"/>
        <v>22</v>
      </c>
      <c r="F133">
        <f t="shared" si="14"/>
        <v>3</v>
      </c>
      <c r="G133">
        <f t="shared" si="15"/>
        <v>4</v>
      </c>
      <c r="H133">
        <f t="shared" si="16"/>
        <v>3</v>
      </c>
      <c r="I133" t="s">
        <v>3662</v>
      </c>
    </row>
    <row r="134" spans="1:9" x14ac:dyDescent="0.25">
      <c r="A134" s="43">
        <v>132</v>
      </c>
      <c r="B134" t="s">
        <v>593</v>
      </c>
      <c r="C134" s="31">
        <v>5</v>
      </c>
      <c r="D134">
        <v>8</v>
      </c>
      <c r="E134" s="31">
        <f t="shared" si="24"/>
        <v>5</v>
      </c>
      <c r="F134">
        <f t="shared" ref="F134:F197" si="25">IF(COUNT(C134)=1, IF(C134&gt;120,6,IF(C134&gt;50,5,IF(C134&gt;24,4,IF(C134&gt;10,3,IF(C134&gt;4,2,IF(C134&gt;1,1,0)))))), "")</f>
        <v>2</v>
      </c>
      <c r="G134">
        <f t="shared" ref="G134:G197" si="26">IF(COUNT(D134)=1, IF(D134&gt;120,6,IF(D134&gt;50,5,IF(D134&gt;24,4,IF(D134&gt;10,3,IF(D134&gt;4,2,IF(D134&gt;1,1,0)))))), "")</f>
        <v>2</v>
      </c>
      <c r="H134">
        <f t="shared" ref="H134:H197" si="27">IF(COUNT(E134)=1, IF(E134&gt;120,6,IF(E134&gt;50,5,IF(E134&gt;24,4,IF(E134&gt;10,3,IF(E134&gt;4,2,IF(E134&gt;1,1,0)))))), "")</f>
        <v>2</v>
      </c>
      <c r="I134" t="s">
        <v>3662</v>
      </c>
    </row>
    <row r="135" spans="1:9" x14ac:dyDescent="0.25">
      <c r="A135" s="43">
        <v>133</v>
      </c>
      <c r="B135" t="s">
        <v>653</v>
      </c>
      <c r="C135" s="31">
        <v>4</v>
      </c>
      <c r="D135">
        <v>10</v>
      </c>
      <c r="E135" s="31">
        <f t="shared" si="24"/>
        <v>4</v>
      </c>
      <c r="F135">
        <f t="shared" si="25"/>
        <v>1</v>
      </c>
      <c r="G135">
        <f t="shared" si="26"/>
        <v>2</v>
      </c>
      <c r="H135">
        <f t="shared" si="27"/>
        <v>1</v>
      </c>
      <c r="I135" t="s">
        <v>3662</v>
      </c>
    </row>
    <row r="136" spans="1:9" x14ac:dyDescent="0.25">
      <c r="A136" s="43">
        <v>134</v>
      </c>
      <c r="B136" t="s">
        <v>654</v>
      </c>
      <c r="C136" s="31">
        <v>14</v>
      </c>
      <c r="D136">
        <v>18</v>
      </c>
      <c r="E136" s="31">
        <f t="shared" si="24"/>
        <v>14</v>
      </c>
      <c r="F136">
        <f t="shared" si="25"/>
        <v>3</v>
      </c>
      <c r="G136">
        <f t="shared" si="26"/>
        <v>3</v>
      </c>
      <c r="H136">
        <f t="shared" si="27"/>
        <v>3</v>
      </c>
      <c r="I136" t="s">
        <v>3662</v>
      </c>
    </row>
    <row r="137" spans="1:9" x14ac:dyDescent="0.25">
      <c r="A137" s="43">
        <v>135</v>
      </c>
      <c r="B137" t="s">
        <v>655</v>
      </c>
      <c r="C137" s="31">
        <v>16</v>
      </c>
      <c r="D137">
        <v>20</v>
      </c>
      <c r="E137" s="31">
        <f t="shared" si="24"/>
        <v>16</v>
      </c>
      <c r="F137">
        <f t="shared" si="25"/>
        <v>3</v>
      </c>
      <c r="G137">
        <f t="shared" si="26"/>
        <v>3</v>
      </c>
      <c r="H137">
        <f t="shared" si="27"/>
        <v>3</v>
      </c>
      <c r="I137" t="s">
        <v>3662</v>
      </c>
    </row>
    <row r="138" spans="1:9" x14ac:dyDescent="0.25">
      <c r="A138" s="43">
        <v>136</v>
      </c>
      <c r="B138" t="s">
        <v>656</v>
      </c>
      <c r="C138" s="31">
        <v>8</v>
      </c>
      <c r="D138">
        <v>12</v>
      </c>
      <c r="E138" s="31">
        <f t="shared" si="24"/>
        <v>8</v>
      </c>
      <c r="F138">
        <f t="shared" si="25"/>
        <v>2</v>
      </c>
      <c r="G138">
        <f t="shared" si="26"/>
        <v>3</v>
      </c>
      <c r="H138">
        <f t="shared" si="27"/>
        <v>2</v>
      </c>
      <c r="I138" t="s">
        <v>3662</v>
      </c>
    </row>
    <row r="139" spans="1:9" x14ac:dyDescent="0.25">
      <c r="A139" s="43">
        <v>137</v>
      </c>
      <c r="B139" t="s">
        <v>657</v>
      </c>
      <c r="C139" s="31">
        <v>6</v>
      </c>
      <c r="D139">
        <v>10</v>
      </c>
      <c r="E139" s="31">
        <f t="shared" si="24"/>
        <v>6</v>
      </c>
      <c r="F139">
        <f t="shared" si="25"/>
        <v>2</v>
      </c>
      <c r="G139">
        <f t="shared" si="26"/>
        <v>2</v>
      </c>
      <c r="H139">
        <f t="shared" si="27"/>
        <v>2</v>
      </c>
      <c r="I139" t="s">
        <v>3662</v>
      </c>
    </row>
    <row r="140" spans="1:9" x14ac:dyDescent="0.25">
      <c r="A140" s="43">
        <v>138</v>
      </c>
      <c r="B140" t="s">
        <v>658</v>
      </c>
      <c r="C140" s="31">
        <v>12</v>
      </c>
      <c r="D140">
        <v>15</v>
      </c>
      <c r="E140" s="31">
        <f t="shared" si="24"/>
        <v>12</v>
      </c>
      <c r="F140">
        <f t="shared" si="25"/>
        <v>3</v>
      </c>
      <c r="G140">
        <f t="shared" si="26"/>
        <v>3</v>
      </c>
      <c r="H140">
        <f t="shared" si="27"/>
        <v>3</v>
      </c>
      <c r="I140" t="s">
        <v>3662</v>
      </c>
    </row>
    <row r="141" spans="1:9" x14ac:dyDescent="0.25">
      <c r="A141" s="43">
        <v>139</v>
      </c>
      <c r="B141" t="s">
        <v>659</v>
      </c>
      <c r="C141" s="31">
        <v>12</v>
      </c>
      <c r="E141" s="31">
        <f t="shared" si="24"/>
        <v>12</v>
      </c>
      <c r="F141">
        <f t="shared" si="25"/>
        <v>3</v>
      </c>
      <c r="G141" t="str">
        <f t="shared" si="26"/>
        <v/>
      </c>
      <c r="H141">
        <f t="shared" si="27"/>
        <v>3</v>
      </c>
      <c r="I141" t="s">
        <v>3662</v>
      </c>
    </row>
    <row r="142" spans="1:9" x14ac:dyDescent="0.25">
      <c r="A142" s="43">
        <v>140</v>
      </c>
      <c r="B142" t="s">
        <v>660</v>
      </c>
      <c r="C142" s="31">
        <v>6</v>
      </c>
      <c r="D142">
        <v>10</v>
      </c>
      <c r="E142" s="31">
        <f t="shared" si="24"/>
        <v>6</v>
      </c>
      <c r="F142">
        <f t="shared" si="25"/>
        <v>2</v>
      </c>
      <c r="G142">
        <f t="shared" si="26"/>
        <v>2</v>
      </c>
      <c r="H142">
        <f t="shared" si="27"/>
        <v>2</v>
      </c>
      <c r="I142" t="s">
        <v>3662</v>
      </c>
    </row>
    <row r="143" spans="1:9" x14ac:dyDescent="0.25">
      <c r="A143" s="43">
        <v>141</v>
      </c>
      <c r="B143" t="s">
        <v>661</v>
      </c>
      <c r="C143" s="31">
        <v>6</v>
      </c>
      <c r="D143">
        <v>10</v>
      </c>
      <c r="E143" s="31">
        <f t="shared" si="24"/>
        <v>6</v>
      </c>
      <c r="F143">
        <f t="shared" si="25"/>
        <v>2</v>
      </c>
      <c r="G143">
        <f t="shared" si="26"/>
        <v>2</v>
      </c>
      <c r="H143">
        <f t="shared" si="27"/>
        <v>2</v>
      </c>
      <c r="I143" t="s">
        <v>3662</v>
      </c>
    </row>
    <row r="144" spans="1:9" x14ac:dyDescent="0.25">
      <c r="A144" s="43">
        <v>142</v>
      </c>
      <c r="B144" t="s">
        <v>662</v>
      </c>
      <c r="C144" s="31">
        <v>6</v>
      </c>
      <c r="D144">
        <v>20</v>
      </c>
      <c r="E144" s="31">
        <f t="shared" si="24"/>
        <v>6</v>
      </c>
      <c r="F144">
        <f t="shared" si="25"/>
        <v>2</v>
      </c>
      <c r="G144">
        <f t="shared" si="26"/>
        <v>3</v>
      </c>
      <c r="H144">
        <f t="shared" si="27"/>
        <v>2</v>
      </c>
      <c r="I144" t="s">
        <v>3662</v>
      </c>
    </row>
    <row r="145" spans="1:9" x14ac:dyDescent="0.25">
      <c r="A145" s="43">
        <v>143</v>
      </c>
      <c r="B145" t="s">
        <v>663</v>
      </c>
      <c r="C145" s="31">
        <v>4</v>
      </c>
      <c r="D145">
        <v>6</v>
      </c>
      <c r="E145" s="31">
        <f t="shared" si="24"/>
        <v>4</v>
      </c>
      <c r="F145">
        <f t="shared" si="25"/>
        <v>1</v>
      </c>
      <c r="G145">
        <f t="shared" si="26"/>
        <v>2</v>
      </c>
      <c r="H145">
        <f t="shared" si="27"/>
        <v>1</v>
      </c>
      <c r="I145" t="s">
        <v>3662</v>
      </c>
    </row>
    <row r="146" spans="1:9" x14ac:dyDescent="0.25">
      <c r="A146" s="43">
        <v>144</v>
      </c>
      <c r="B146" t="s">
        <v>664</v>
      </c>
      <c r="C146" s="31">
        <v>2</v>
      </c>
      <c r="D146">
        <v>4</v>
      </c>
      <c r="E146" s="31">
        <f t="shared" si="24"/>
        <v>2</v>
      </c>
      <c r="F146">
        <f t="shared" si="25"/>
        <v>1</v>
      </c>
      <c r="G146">
        <f t="shared" si="26"/>
        <v>1</v>
      </c>
      <c r="H146">
        <f t="shared" si="27"/>
        <v>1</v>
      </c>
      <c r="I146" t="s">
        <v>3662</v>
      </c>
    </row>
    <row r="147" spans="1:9" x14ac:dyDescent="0.25">
      <c r="A147" s="43">
        <v>145</v>
      </c>
      <c r="B147" t="s">
        <v>665</v>
      </c>
      <c r="C147" s="31">
        <v>10</v>
      </c>
      <c r="D147">
        <v>15</v>
      </c>
      <c r="E147" s="31">
        <f t="shared" si="24"/>
        <v>10</v>
      </c>
      <c r="F147">
        <f t="shared" si="25"/>
        <v>2</v>
      </c>
      <c r="G147">
        <f t="shared" si="26"/>
        <v>3</v>
      </c>
      <c r="H147">
        <f t="shared" si="27"/>
        <v>2</v>
      </c>
      <c r="I147" t="s">
        <v>3662</v>
      </c>
    </row>
    <row r="148" spans="1:9" x14ac:dyDescent="0.25">
      <c r="A148" s="43">
        <v>146</v>
      </c>
      <c r="B148" t="s">
        <v>666</v>
      </c>
      <c r="C148" s="31">
        <v>12</v>
      </c>
      <c r="D148">
        <v>14</v>
      </c>
      <c r="E148" s="31">
        <f t="shared" si="24"/>
        <v>12</v>
      </c>
      <c r="F148">
        <f t="shared" si="25"/>
        <v>3</v>
      </c>
      <c r="G148">
        <f t="shared" si="26"/>
        <v>3</v>
      </c>
      <c r="H148">
        <f t="shared" si="27"/>
        <v>3</v>
      </c>
      <c r="I148" t="s">
        <v>3662</v>
      </c>
    </row>
    <row r="149" spans="1:9" x14ac:dyDescent="0.25">
      <c r="A149" s="43">
        <v>147</v>
      </c>
      <c r="B149" t="s">
        <v>667</v>
      </c>
      <c r="C149" s="31">
        <v>4</v>
      </c>
      <c r="D149">
        <v>10</v>
      </c>
      <c r="E149" s="31">
        <f t="shared" si="24"/>
        <v>4</v>
      </c>
      <c r="F149">
        <f t="shared" si="25"/>
        <v>1</v>
      </c>
      <c r="G149">
        <f t="shared" si="26"/>
        <v>2</v>
      </c>
      <c r="H149">
        <f t="shared" si="27"/>
        <v>1</v>
      </c>
      <c r="I149" t="s">
        <v>3662</v>
      </c>
    </row>
    <row r="150" spans="1:9" x14ac:dyDescent="0.25">
      <c r="A150" s="43">
        <v>148</v>
      </c>
      <c r="B150" t="s">
        <v>668</v>
      </c>
      <c r="C150" s="31">
        <v>10</v>
      </c>
      <c r="D150">
        <v>25</v>
      </c>
      <c r="E150" s="31">
        <f t="shared" si="24"/>
        <v>10</v>
      </c>
      <c r="F150">
        <f t="shared" si="25"/>
        <v>2</v>
      </c>
      <c r="G150">
        <f t="shared" si="26"/>
        <v>4</v>
      </c>
      <c r="H150">
        <f t="shared" si="27"/>
        <v>2</v>
      </c>
      <c r="I150" t="s">
        <v>3662</v>
      </c>
    </row>
    <row r="151" spans="1:9" x14ac:dyDescent="0.25">
      <c r="A151" s="43">
        <v>149</v>
      </c>
      <c r="B151" t="s">
        <v>669</v>
      </c>
      <c r="C151" s="31">
        <v>15</v>
      </c>
      <c r="D151">
        <v>20</v>
      </c>
      <c r="E151" s="31">
        <f t="shared" si="24"/>
        <v>15</v>
      </c>
      <c r="F151">
        <f t="shared" si="25"/>
        <v>3</v>
      </c>
      <c r="G151">
        <f t="shared" si="26"/>
        <v>3</v>
      </c>
      <c r="H151">
        <f t="shared" si="27"/>
        <v>3</v>
      </c>
      <c r="I151" t="s">
        <v>3662</v>
      </c>
    </row>
    <row r="152" spans="1:9" x14ac:dyDescent="0.25">
      <c r="A152" s="43">
        <v>150</v>
      </c>
      <c r="B152" t="s">
        <v>670</v>
      </c>
      <c r="C152" s="31">
        <v>20</v>
      </c>
      <c r="D152">
        <v>30</v>
      </c>
      <c r="E152" s="31">
        <f t="shared" si="24"/>
        <v>20</v>
      </c>
      <c r="F152">
        <f t="shared" si="25"/>
        <v>3</v>
      </c>
      <c r="G152">
        <f t="shared" si="26"/>
        <v>4</v>
      </c>
      <c r="H152">
        <f t="shared" si="27"/>
        <v>3</v>
      </c>
      <c r="I152" t="s">
        <v>3662</v>
      </c>
    </row>
    <row r="153" spans="1:9" x14ac:dyDescent="0.25">
      <c r="A153" s="43">
        <v>151</v>
      </c>
      <c r="B153" t="s">
        <v>671</v>
      </c>
      <c r="C153" s="31">
        <v>20</v>
      </c>
      <c r="D153">
        <v>30</v>
      </c>
      <c r="E153" s="31">
        <f t="shared" si="24"/>
        <v>20</v>
      </c>
      <c r="F153">
        <f t="shared" si="25"/>
        <v>3</v>
      </c>
      <c r="G153">
        <f t="shared" si="26"/>
        <v>4</v>
      </c>
      <c r="H153">
        <f t="shared" si="27"/>
        <v>3</v>
      </c>
      <c r="I153" t="s">
        <v>3662</v>
      </c>
    </row>
    <row r="154" spans="1:9" x14ac:dyDescent="0.25">
      <c r="A154" s="43">
        <v>152</v>
      </c>
      <c r="B154" t="s">
        <v>672</v>
      </c>
      <c r="C154" s="31">
        <v>4</v>
      </c>
      <c r="D154">
        <v>6</v>
      </c>
      <c r="E154" s="31">
        <f t="shared" si="24"/>
        <v>4</v>
      </c>
      <c r="F154">
        <f t="shared" si="25"/>
        <v>1</v>
      </c>
      <c r="G154">
        <f t="shared" si="26"/>
        <v>2</v>
      </c>
      <c r="H154">
        <f t="shared" si="27"/>
        <v>1</v>
      </c>
      <c r="I154" t="s">
        <v>3662</v>
      </c>
    </row>
    <row r="155" spans="1:9" x14ac:dyDescent="0.25">
      <c r="A155" s="43">
        <v>153</v>
      </c>
      <c r="B155" t="s">
        <v>673</v>
      </c>
      <c r="C155" s="31">
        <v>20</v>
      </c>
      <c r="D155">
        <v>26</v>
      </c>
      <c r="E155" s="31">
        <f t="shared" si="24"/>
        <v>20</v>
      </c>
      <c r="F155">
        <f t="shared" si="25"/>
        <v>3</v>
      </c>
      <c r="G155">
        <f t="shared" si="26"/>
        <v>4</v>
      </c>
      <c r="H155">
        <f t="shared" si="27"/>
        <v>3</v>
      </c>
      <c r="I155" t="s">
        <v>3662</v>
      </c>
    </row>
    <row r="156" spans="1:9" x14ac:dyDescent="0.25">
      <c r="A156" s="43">
        <v>154</v>
      </c>
      <c r="B156" t="s">
        <v>674</v>
      </c>
      <c r="C156" s="31">
        <v>10</v>
      </c>
      <c r="D156">
        <v>18</v>
      </c>
      <c r="E156" s="31">
        <f t="shared" si="24"/>
        <v>10</v>
      </c>
      <c r="F156">
        <f t="shared" si="25"/>
        <v>2</v>
      </c>
      <c r="G156">
        <f t="shared" si="26"/>
        <v>3</v>
      </c>
      <c r="H156">
        <f t="shared" si="27"/>
        <v>2</v>
      </c>
      <c r="I156" t="s">
        <v>3662</v>
      </c>
    </row>
    <row r="157" spans="1:9" x14ac:dyDescent="0.25">
      <c r="A157" s="43">
        <v>155</v>
      </c>
      <c r="B157" t="s">
        <v>675</v>
      </c>
      <c r="C157" s="31">
        <v>20</v>
      </c>
      <c r="D157">
        <v>30</v>
      </c>
      <c r="E157" s="31">
        <f t="shared" si="24"/>
        <v>20</v>
      </c>
      <c r="F157">
        <f t="shared" si="25"/>
        <v>3</v>
      </c>
      <c r="G157">
        <f t="shared" si="26"/>
        <v>4</v>
      </c>
      <c r="H157">
        <f t="shared" si="27"/>
        <v>3</v>
      </c>
      <c r="I157" t="s">
        <v>3662</v>
      </c>
    </row>
    <row r="158" spans="1:9" x14ac:dyDescent="0.25">
      <c r="A158" s="43">
        <v>156</v>
      </c>
      <c r="B158" t="s">
        <v>676</v>
      </c>
      <c r="C158" s="31">
        <v>6</v>
      </c>
      <c r="D158">
        <v>10</v>
      </c>
      <c r="E158" s="31">
        <f t="shared" si="24"/>
        <v>6</v>
      </c>
      <c r="F158">
        <f t="shared" si="25"/>
        <v>2</v>
      </c>
      <c r="G158">
        <f t="shared" si="26"/>
        <v>2</v>
      </c>
      <c r="H158">
        <f t="shared" si="27"/>
        <v>2</v>
      </c>
      <c r="I158" t="s">
        <v>3662</v>
      </c>
    </row>
    <row r="159" spans="1:9" x14ac:dyDescent="0.25">
      <c r="A159" s="43">
        <v>157</v>
      </c>
      <c r="B159" t="s">
        <v>677</v>
      </c>
      <c r="C159" s="31">
        <v>15</v>
      </c>
      <c r="D159">
        <v>30</v>
      </c>
      <c r="E159" s="31">
        <f t="shared" si="24"/>
        <v>15</v>
      </c>
      <c r="F159">
        <f t="shared" si="25"/>
        <v>3</v>
      </c>
      <c r="G159">
        <f t="shared" si="26"/>
        <v>4</v>
      </c>
      <c r="H159">
        <f t="shared" si="27"/>
        <v>3</v>
      </c>
      <c r="I159" t="s">
        <v>3662</v>
      </c>
    </row>
    <row r="160" spans="1:9" x14ac:dyDescent="0.25">
      <c r="A160" s="43">
        <v>158</v>
      </c>
      <c r="B160" t="s">
        <v>678</v>
      </c>
      <c r="C160" s="31">
        <v>8</v>
      </c>
      <c r="D160">
        <v>14</v>
      </c>
      <c r="E160" s="31">
        <f t="shared" si="24"/>
        <v>8</v>
      </c>
      <c r="F160">
        <f t="shared" si="25"/>
        <v>2</v>
      </c>
      <c r="G160">
        <f t="shared" si="26"/>
        <v>3</v>
      </c>
      <c r="H160">
        <f t="shared" si="27"/>
        <v>2</v>
      </c>
      <c r="I160" t="s">
        <v>3662</v>
      </c>
    </row>
    <row r="161" spans="1:9" x14ac:dyDescent="0.25">
      <c r="A161" s="43">
        <v>159</v>
      </c>
      <c r="B161" t="s">
        <v>679</v>
      </c>
      <c r="C161" s="31">
        <v>10</v>
      </c>
      <c r="D161">
        <v>15</v>
      </c>
      <c r="E161" s="31">
        <f t="shared" si="24"/>
        <v>10</v>
      </c>
      <c r="F161">
        <f t="shared" si="25"/>
        <v>2</v>
      </c>
      <c r="G161">
        <f t="shared" si="26"/>
        <v>3</v>
      </c>
      <c r="H161">
        <f t="shared" si="27"/>
        <v>2</v>
      </c>
      <c r="I161" t="s">
        <v>3662</v>
      </c>
    </row>
    <row r="162" spans="1:9" x14ac:dyDescent="0.25">
      <c r="A162" s="43">
        <v>160</v>
      </c>
      <c r="B162" t="s">
        <v>680</v>
      </c>
      <c r="C162" s="31">
        <v>5</v>
      </c>
      <c r="E162" s="31">
        <f t="shared" si="24"/>
        <v>5</v>
      </c>
      <c r="F162">
        <f t="shared" si="25"/>
        <v>2</v>
      </c>
      <c r="G162" t="str">
        <f t="shared" si="26"/>
        <v/>
      </c>
      <c r="H162">
        <f t="shared" si="27"/>
        <v>2</v>
      </c>
      <c r="I162" t="s">
        <v>3662</v>
      </c>
    </row>
    <row r="163" spans="1:9" x14ac:dyDescent="0.25">
      <c r="A163" s="43">
        <v>161</v>
      </c>
      <c r="B163" t="s">
        <v>681</v>
      </c>
      <c r="C163" s="31">
        <v>12</v>
      </c>
      <c r="D163">
        <v>15</v>
      </c>
      <c r="E163" s="31">
        <f t="shared" si="24"/>
        <v>12</v>
      </c>
      <c r="F163">
        <f t="shared" si="25"/>
        <v>3</v>
      </c>
      <c r="G163">
        <f t="shared" si="26"/>
        <v>3</v>
      </c>
      <c r="H163">
        <f t="shared" si="27"/>
        <v>3</v>
      </c>
      <c r="I163" t="s">
        <v>3662</v>
      </c>
    </row>
    <row r="164" spans="1:9" x14ac:dyDescent="0.25">
      <c r="A164" s="43">
        <v>162</v>
      </c>
      <c r="B164" t="s">
        <v>682</v>
      </c>
      <c r="C164" s="31">
        <v>12</v>
      </c>
      <c r="D164">
        <v>15</v>
      </c>
      <c r="E164" s="31">
        <f t="shared" si="24"/>
        <v>12</v>
      </c>
      <c r="F164">
        <f t="shared" si="25"/>
        <v>3</v>
      </c>
      <c r="G164">
        <f t="shared" si="26"/>
        <v>3</v>
      </c>
      <c r="H164">
        <f t="shared" si="27"/>
        <v>3</v>
      </c>
      <c r="I164" t="s">
        <v>3662</v>
      </c>
    </row>
    <row r="165" spans="1:9" x14ac:dyDescent="0.25">
      <c r="A165" s="43">
        <v>163</v>
      </c>
      <c r="B165" t="s">
        <v>683</v>
      </c>
      <c r="C165" s="31">
        <v>20</v>
      </c>
      <c r="D165">
        <v>30</v>
      </c>
      <c r="E165" s="31">
        <f t="shared" si="24"/>
        <v>20</v>
      </c>
      <c r="F165">
        <f t="shared" si="25"/>
        <v>3</v>
      </c>
      <c r="G165">
        <f t="shared" si="26"/>
        <v>4</v>
      </c>
      <c r="H165">
        <f t="shared" si="27"/>
        <v>3</v>
      </c>
      <c r="I165" t="s">
        <v>3662</v>
      </c>
    </row>
    <row r="166" spans="1:9" x14ac:dyDescent="0.25">
      <c r="A166" s="43">
        <v>164</v>
      </c>
      <c r="B166" t="s">
        <v>684</v>
      </c>
      <c r="C166" s="31">
        <v>6</v>
      </c>
      <c r="D166">
        <v>12</v>
      </c>
      <c r="E166" s="31">
        <f t="shared" si="24"/>
        <v>6</v>
      </c>
      <c r="F166">
        <f t="shared" si="25"/>
        <v>2</v>
      </c>
      <c r="G166">
        <f t="shared" si="26"/>
        <v>3</v>
      </c>
      <c r="H166">
        <f t="shared" si="27"/>
        <v>2</v>
      </c>
      <c r="I166" t="s">
        <v>3662</v>
      </c>
    </row>
    <row r="167" spans="1:9" x14ac:dyDescent="0.25">
      <c r="A167" s="43">
        <v>165</v>
      </c>
      <c r="B167" t="s">
        <v>245</v>
      </c>
      <c r="C167" s="31">
        <v>6</v>
      </c>
      <c r="D167">
        <v>10</v>
      </c>
      <c r="E167" s="31">
        <f t="shared" ref="E167:E215" si="28">AVERAGE(C167:C167)</f>
        <v>6</v>
      </c>
      <c r="F167">
        <f t="shared" si="25"/>
        <v>2</v>
      </c>
      <c r="G167">
        <f t="shared" si="26"/>
        <v>2</v>
      </c>
      <c r="H167">
        <f t="shared" si="27"/>
        <v>2</v>
      </c>
      <c r="I167" t="s">
        <v>3662</v>
      </c>
    </row>
    <row r="168" spans="1:9" x14ac:dyDescent="0.25">
      <c r="A168" s="43">
        <v>166</v>
      </c>
      <c r="B168" t="s">
        <v>685</v>
      </c>
      <c r="C168" s="31">
        <v>20</v>
      </c>
      <c r="D168">
        <v>26</v>
      </c>
      <c r="E168" s="31">
        <f t="shared" si="28"/>
        <v>20</v>
      </c>
      <c r="F168">
        <f t="shared" si="25"/>
        <v>3</v>
      </c>
      <c r="G168">
        <f t="shared" si="26"/>
        <v>4</v>
      </c>
      <c r="H168">
        <f t="shared" si="27"/>
        <v>3</v>
      </c>
      <c r="I168" t="s">
        <v>3662</v>
      </c>
    </row>
    <row r="169" spans="1:9" x14ac:dyDescent="0.25">
      <c r="A169" s="43">
        <v>167</v>
      </c>
      <c r="B169" t="s">
        <v>686</v>
      </c>
      <c r="C169" s="31">
        <v>8</v>
      </c>
      <c r="D169">
        <v>12</v>
      </c>
      <c r="E169" s="31">
        <f t="shared" si="28"/>
        <v>8</v>
      </c>
      <c r="F169">
        <f t="shared" si="25"/>
        <v>2</v>
      </c>
      <c r="G169">
        <f t="shared" si="26"/>
        <v>3</v>
      </c>
      <c r="H169">
        <f t="shared" si="27"/>
        <v>2</v>
      </c>
      <c r="I169" t="s">
        <v>3662</v>
      </c>
    </row>
    <row r="170" spans="1:9" x14ac:dyDescent="0.25">
      <c r="A170" s="43">
        <v>168</v>
      </c>
      <c r="B170" t="s">
        <v>687</v>
      </c>
      <c r="C170" s="31">
        <v>8</v>
      </c>
      <c r="D170">
        <v>12</v>
      </c>
      <c r="E170" s="31">
        <f t="shared" si="28"/>
        <v>8</v>
      </c>
      <c r="F170">
        <f t="shared" si="25"/>
        <v>2</v>
      </c>
      <c r="G170">
        <f t="shared" si="26"/>
        <v>3</v>
      </c>
      <c r="H170">
        <f t="shared" si="27"/>
        <v>2</v>
      </c>
      <c r="I170" t="s">
        <v>3662</v>
      </c>
    </row>
    <row r="171" spans="1:9" x14ac:dyDescent="0.25">
      <c r="A171" s="43">
        <v>169</v>
      </c>
      <c r="B171" t="s">
        <v>688</v>
      </c>
      <c r="C171" s="31">
        <v>8</v>
      </c>
      <c r="D171">
        <v>12</v>
      </c>
      <c r="E171" s="31">
        <f t="shared" si="28"/>
        <v>8</v>
      </c>
      <c r="F171">
        <f t="shared" si="25"/>
        <v>2</v>
      </c>
      <c r="G171">
        <f t="shared" si="26"/>
        <v>3</v>
      </c>
      <c r="H171">
        <f t="shared" si="27"/>
        <v>2</v>
      </c>
      <c r="I171" t="s">
        <v>3662</v>
      </c>
    </row>
    <row r="172" spans="1:9" x14ac:dyDescent="0.25">
      <c r="A172" s="43">
        <v>170</v>
      </c>
      <c r="B172" t="s">
        <v>689</v>
      </c>
      <c r="C172" s="31">
        <v>15</v>
      </c>
      <c r="D172">
        <v>20</v>
      </c>
      <c r="E172" s="31">
        <f t="shared" si="28"/>
        <v>15</v>
      </c>
      <c r="F172">
        <f t="shared" si="25"/>
        <v>3</v>
      </c>
      <c r="G172">
        <f t="shared" si="26"/>
        <v>3</v>
      </c>
      <c r="H172">
        <f t="shared" si="27"/>
        <v>3</v>
      </c>
      <c r="I172" t="s">
        <v>3662</v>
      </c>
    </row>
    <row r="173" spans="1:9" x14ac:dyDescent="0.25">
      <c r="A173" s="43">
        <v>171</v>
      </c>
      <c r="B173" t="s">
        <v>690</v>
      </c>
      <c r="C173" s="31">
        <v>5</v>
      </c>
      <c r="E173" s="31">
        <f t="shared" si="28"/>
        <v>5</v>
      </c>
      <c r="F173">
        <f t="shared" si="25"/>
        <v>2</v>
      </c>
      <c r="G173" t="str">
        <f t="shared" si="26"/>
        <v/>
      </c>
      <c r="H173">
        <f t="shared" si="27"/>
        <v>2</v>
      </c>
      <c r="I173" t="s">
        <v>3662</v>
      </c>
    </row>
    <row r="174" spans="1:9" x14ac:dyDescent="0.25">
      <c r="A174" s="43">
        <v>172</v>
      </c>
      <c r="B174" t="s">
        <v>691</v>
      </c>
      <c r="C174" s="31">
        <v>15</v>
      </c>
      <c r="D174">
        <v>20</v>
      </c>
      <c r="E174" s="31">
        <f t="shared" si="28"/>
        <v>15</v>
      </c>
      <c r="F174">
        <f t="shared" si="25"/>
        <v>3</v>
      </c>
      <c r="G174">
        <f t="shared" si="26"/>
        <v>3</v>
      </c>
      <c r="H174">
        <f t="shared" si="27"/>
        <v>3</v>
      </c>
      <c r="I174" t="s">
        <v>3662</v>
      </c>
    </row>
    <row r="175" spans="1:9" x14ac:dyDescent="0.25">
      <c r="A175" s="43">
        <v>173</v>
      </c>
      <c r="B175" t="s">
        <v>692</v>
      </c>
      <c r="C175" s="31">
        <v>8</v>
      </c>
      <c r="D175">
        <v>15</v>
      </c>
      <c r="E175" s="31">
        <f t="shared" si="28"/>
        <v>8</v>
      </c>
      <c r="F175">
        <f t="shared" si="25"/>
        <v>2</v>
      </c>
      <c r="G175">
        <f t="shared" si="26"/>
        <v>3</v>
      </c>
      <c r="H175">
        <f t="shared" si="27"/>
        <v>2</v>
      </c>
      <c r="I175" t="s">
        <v>3662</v>
      </c>
    </row>
    <row r="176" spans="1:9" x14ac:dyDescent="0.25">
      <c r="A176" s="43">
        <v>174</v>
      </c>
      <c r="B176" t="s">
        <v>622</v>
      </c>
      <c r="C176" s="31">
        <v>5</v>
      </c>
      <c r="D176">
        <v>10</v>
      </c>
      <c r="E176" s="31">
        <f t="shared" si="28"/>
        <v>5</v>
      </c>
      <c r="F176">
        <f t="shared" si="25"/>
        <v>2</v>
      </c>
      <c r="G176">
        <f t="shared" si="26"/>
        <v>2</v>
      </c>
      <c r="H176">
        <f t="shared" si="27"/>
        <v>2</v>
      </c>
      <c r="I176" t="s">
        <v>3662</v>
      </c>
    </row>
    <row r="177" spans="1:9" x14ac:dyDescent="0.25">
      <c r="A177" s="43">
        <v>175</v>
      </c>
      <c r="B177" t="s">
        <v>693</v>
      </c>
      <c r="C177" s="31">
        <v>12</v>
      </c>
      <c r="D177">
        <v>15</v>
      </c>
      <c r="E177" s="31">
        <f t="shared" si="28"/>
        <v>12</v>
      </c>
      <c r="F177">
        <f t="shared" si="25"/>
        <v>3</v>
      </c>
      <c r="G177">
        <f t="shared" si="26"/>
        <v>3</v>
      </c>
      <c r="H177">
        <f t="shared" si="27"/>
        <v>3</v>
      </c>
      <c r="I177" t="s">
        <v>3662</v>
      </c>
    </row>
    <row r="178" spans="1:9" x14ac:dyDescent="0.25">
      <c r="A178" s="43">
        <v>176</v>
      </c>
      <c r="B178" t="s">
        <v>694</v>
      </c>
      <c r="C178" s="31">
        <v>10</v>
      </c>
      <c r="D178">
        <v>14</v>
      </c>
      <c r="E178" s="31">
        <f t="shared" si="28"/>
        <v>10</v>
      </c>
      <c r="F178">
        <f t="shared" si="25"/>
        <v>2</v>
      </c>
      <c r="G178">
        <f t="shared" si="26"/>
        <v>3</v>
      </c>
      <c r="H178">
        <f t="shared" si="27"/>
        <v>2</v>
      </c>
      <c r="I178" t="s">
        <v>3662</v>
      </c>
    </row>
    <row r="179" spans="1:9" x14ac:dyDescent="0.25">
      <c r="A179" s="43">
        <v>177</v>
      </c>
      <c r="B179" t="s">
        <v>695</v>
      </c>
      <c r="C179" s="31">
        <v>18</v>
      </c>
      <c r="D179">
        <v>24</v>
      </c>
      <c r="E179" s="31">
        <f t="shared" si="28"/>
        <v>18</v>
      </c>
      <c r="F179">
        <f t="shared" si="25"/>
        <v>3</v>
      </c>
      <c r="G179">
        <f t="shared" si="26"/>
        <v>3</v>
      </c>
      <c r="H179">
        <f t="shared" si="27"/>
        <v>3</v>
      </c>
      <c r="I179" t="s">
        <v>3662</v>
      </c>
    </row>
    <row r="180" spans="1:9" x14ac:dyDescent="0.25">
      <c r="A180" s="43">
        <v>178</v>
      </c>
      <c r="B180" t="s">
        <v>696</v>
      </c>
      <c r="C180" s="31">
        <v>5</v>
      </c>
      <c r="E180" s="31">
        <f t="shared" si="28"/>
        <v>5</v>
      </c>
      <c r="F180">
        <f t="shared" si="25"/>
        <v>2</v>
      </c>
      <c r="G180" t="str">
        <f t="shared" si="26"/>
        <v/>
      </c>
      <c r="H180">
        <f t="shared" si="27"/>
        <v>2</v>
      </c>
      <c r="I180" t="s">
        <v>3662</v>
      </c>
    </row>
    <row r="181" spans="1:9" x14ac:dyDescent="0.25">
      <c r="A181" s="43">
        <v>179</v>
      </c>
      <c r="B181" t="s">
        <v>697</v>
      </c>
      <c r="C181" s="31">
        <v>5</v>
      </c>
      <c r="E181" s="31">
        <f t="shared" si="28"/>
        <v>5</v>
      </c>
      <c r="F181">
        <f t="shared" si="25"/>
        <v>2</v>
      </c>
      <c r="G181" t="str">
        <f t="shared" si="26"/>
        <v/>
      </c>
      <c r="H181">
        <f t="shared" si="27"/>
        <v>2</v>
      </c>
      <c r="I181" t="s">
        <v>3662</v>
      </c>
    </row>
    <row r="182" spans="1:9" x14ac:dyDescent="0.25">
      <c r="A182" s="43">
        <v>180</v>
      </c>
      <c r="B182" t="s">
        <v>698</v>
      </c>
      <c r="C182" s="31">
        <v>10</v>
      </c>
      <c r="D182">
        <v>15</v>
      </c>
      <c r="E182" s="31">
        <f t="shared" si="28"/>
        <v>10</v>
      </c>
      <c r="F182">
        <f t="shared" si="25"/>
        <v>2</v>
      </c>
      <c r="G182">
        <f t="shared" si="26"/>
        <v>3</v>
      </c>
      <c r="H182">
        <f t="shared" si="27"/>
        <v>2</v>
      </c>
      <c r="I182" t="s">
        <v>3662</v>
      </c>
    </row>
    <row r="183" spans="1:9" x14ac:dyDescent="0.25">
      <c r="A183" s="43">
        <v>181</v>
      </c>
      <c r="B183" t="s">
        <v>699</v>
      </c>
      <c r="C183" s="31">
        <v>8</v>
      </c>
      <c r="D183">
        <v>10</v>
      </c>
      <c r="E183" s="31">
        <f t="shared" si="28"/>
        <v>8</v>
      </c>
      <c r="F183">
        <f t="shared" si="25"/>
        <v>2</v>
      </c>
      <c r="G183">
        <f t="shared" si="26"/>
        <v>2</v>
      </c>
      <c r="H183">
        <f t="shared" si="27"/>
        <v>2</v>
      </c>
      <c r="I183" t="s">
        <v>3662</v>
      </c>
    </row>
    <row r="184" spans="1:9" x14ac:dyDescent="0.25">
      <c r="A184" s="43">
        <v>182</v>
      </c>
      <c r="B184" t="s">
        <v>700</v>
      </c>
      <c r="C184" s="31">
        <v>6</v>
      </c>
      <c r="D184">
        <v>10</v>
      </c>
      <c r="E184" s="31">
        <f t="shared" si="28"/>
        <v>6</v>
      </c>
      <c r="F184">
        <f t="shared" si="25"/>
        <v>2</v>
      </c>
      <c r="G184">
        <f t="shared" si="26"/>
        <v>2</v>
      </c>
      <c r="H184">
        <f t="shared" si="27"/>
        <v>2</v>
      </c>
      <c r="I184" t="s">
        <v>3662</v>
      </c>
    </row>
    <row r="185" spans="1:9" x14ac:dyDescent="0.25">
      <c r="A185" s="43">
        <v>183</v>
      </c>
      <c r="B185" t="s">
        <v>701</v>
      </c>
      <c r="C185" s="31">
        <v>12</v>
      </c>
      <c r="D185">
        <v>14</v>
      </c>
      <c r="E185" s="31">
        <f t="shared" si="28"/>
        <v>12</v>
      </c>
      <c r="F185">
        <f t="shared" si="25"/>
        <v>3</v>
      </c>
      <c r="G185">
        <f t="shared" si="26"/>
        <v>3</v>
      </c>
      <c r="H185">
        <f t="shared" si="27"/>
        <v>3</v>
      </c>
      <c r="I185" t="s">
        <v>3662</v>
      </c>
    </row>
    <row r="186" spans="1:9" x14ac:dyDescent="0.25">
      <c r="A186" s="43">
        <v>184</v>
      </c>
      <c r="B186" t="s">
        <v>702</v>
      </c>
      <c r="C186" s="31">
        <v>6</v>
      </c>
      <c r="D186">
        <v>8</v>
      </c>
      <c r="E186" s="31">
        <f t="shared" si="28"/>
        <v>6</v>
      </c>
      <c r="F186">
        <f t="shared" si="25"/>
        <v>2</v>
      </c>
      <c r="G186">
        <f t="shared" si="26"/>
        <v>2</v>
      </c>
      <c r="H186">
        <f t="shared" si="27"/>
        <v>2</v>
      </c>
      <c r="I186" t="s">
        <v>3662</v>
      </c>
    </row>
    <row r="187" spans="1:9" x14ac:dyDescent="0.25">
      <c r="A187" s="43">
        <v>185</v>
      </c>
      <c r="B187" t="s">
        <v>703</v>
      </c>
      <c r="C187" s="31">
        <v>5</v>
      </c>
      <c r="D187">
        <v>10</v>
      </c>
      <c r="E187" s="31">
        <f t="shared" si="28"/>
        <v>5</v>
      </c>
      <c r="F187">
        <f t="shared" si="25"/>
        <v>2</v>
      </c>
      <c r="G187">
        <f t="shared" si="26"/>
        <v>2</v>
      </c>
      <c r="H187">
        <f t="shared" si="27"/>
        <v>2</v>
      </c>
      <c r="I187" t="s">
        <v>3662</v>
      </c>
    </row>
    <row r="188" spans="1:9" x14ac:dyDescent="0.25">
      <c r="A188" s="43">
        <v>186</v>
      </c>
      <c r="B188" t="s">
        <v>704</v>
      </c>
      <c r="C188" s="31">
        <v>5</v>
      </c>
      <c r="D188">
        <v>10</v>
      </c>
      <c r="E188" s="31">
        <f t="shared" si="28"/>
        <v>5</v>
      </c>
      <c r="F188">
        <f t="shared" si="25"/>
        <v>2</v>
      </c>
      <c r="G188">
        <f t="shared" si="26"/>
        <v>2</v>
      </c>
      <c r="H188">
        <f t="shared" si="27"/>
        <v>2</v>
      </c>
      <c r="I188" t="s">
        <v>3662</v>
      </c>
    </row>
    <row r="189" spans="1:9" x14ac:dyDescent="0.25">
      <c r="A189" s="43">
        <v>187</v>
      </c>
      <c r="B189" t="s">
        <v>705</v>
      </c>
      <c r="C189" s="31">
        <v>6</v>
      </c>
      <c r="D189">
        <v>10</v>
      </c>
      <c r="E189" s="31">
        <f t="shared" si="28"/>
        <v>6</v>
      </c>
      <c r="F189">
        <f t="shared" si="25"/>
        <v>2</v>
      </c>
      <c r="G189">
        <f t="shared" si="26"/>
        <v>2</v>
      </c>
      <c r="H189">
        <f t="shared" si="27"/>
        <v>2</v>
      </c>
      <c r="I189" t="s">
        <v>3662</v>
      </c>
    </row>
    <row r="190" spans="1:9" x14ac:dyDescent="0.25">
      <c r="A190" s="43">
        <v>188</v>
      </c>
      <c r="B190" t="s">
        <v>706</v>
      </c>
      <c r="C190" s="31">
        <v>10</v>
      </c>
      <c r="D190">
        <v>50</v>
      </c>
      <c r="E190" s="31">
        <f t="shared" si="28"/>
        <v>10</v>
      </c>
      <c r="F190">
        <f t="shared" si="25"/>
        <v>2</v>
      </c>
      <c r="G190">
        <f t="shared" si="26"/>
        <v>4</v>
      </c>
      <c r="H190">
        <f t="shared" si="27"/>
        <v>2</v>
      </c>
      <c r="I190" t="s">
        <v>3662</v>
      </c>
    </row>
    <row r="191" spans="1:9" x14ac:dyDescent="0.25">
      <c r="A191" s="43">
        <v>189</v>
      </c>
      <c r="B191" t="s">
        <v>707</v>
      </c>
      <c r="C191" s="31">
        <v>6</v>
      </c>
      <c r="D191">
        <v>10</v>
      </c>
      <c r="E191" s="31">
        <f t="shared" si="28"/>
        <v>6</v>
      </c>
      <c r="F191">
        <f t="shared" si="25"/>
        <v>2</v>
      </c>
      <c r="G191">
        <f t="shared" si="26"/>
        <v>2</v>
      </c>
      <c r="H191">
        <f t="shared" si="27"/>
        <v>2</v>
      </c>
      <c r="I191" t="s">
        <v>3662</v>
      </c>
    </row>
    <row r="192" spans="1:9" x14ac:dyDescent="0.25">
      <c r="A192" s="43">
        <v>190</v>
      </c>
      <c r="B192" t="s">
        <v>708</v>
      </c>
      <c r="C192" s="31">
        <v>5</v>
      </c>
      <c r="E192" s="31">
        <f t="shared" si="28"/>
        <v>5</v>
      </c>
      <c r="F192">
        <f t="shared" si="25"/>
        <v>2</v>
      </c>
      <c r="G192" t="str">
        <f t="shared" si="26"/>
        <v/>
      </c>
      <c r="H192">
        <f t="shared" si="27"/>
        <v>2</v>
      </c>
      <c r="I192" t="s">
        <v>3662</v>
      </c>
    </row>
    <row r="193" spans="1:9" x14ac:dyDescent="0.25">
      <c r="A193" s="43">
        <v>191</v>
      </c>
      <c r="B193" t="s">
        <v>709</v>
      </c>
      <c r="C193" s="31">
        <v>4</v>
      </c>
      <c r="D193">
        <v>6</v>
      </c>
      <c r="E193" s="31">
        <f t="shared" si="28"/>
        <v>4</v>
      </c>
      <c r="F193">
        <f t="shared" si="25"/>
        <v>1</v>
      </c>
      <c r="G193">
        <f t="shared" si="26"/>
        <v>2</v>
      </c>
      <c r="H193">
        <f t="shared" si="27"/>
        <v>1</v>
      </c>
      <c r="I193" t="s">
        <v>3662</v>
      </c>
    </row>
    <row r="194" spans="1:9" x14ac:dyDescent="0.25">
      <c r="A194" s="43">
        <v>192</v>
      </c>
      <c r="B194" t="s">
        <v>251</v>
      </c>
      <c r="C194" s="31">
        <v>8</v>
      </c>
      <c r="D194">
        <v>12</v>
      </c>
      <c r="E194" s="31">
        <f t="shared" si="28"/>
        <v>8</v>
      </c>
      <c r="F194">
        <f t="shared" si="25"/>
        <v>2</v>
      </c>
      <c r="G194">
        <f t="shared" si="26"/>
        <v>3</v>
      </c>
      <c r="H194">
        <f t="shared" si="27"/>
        <v>2</v>
      </c>
      <c r="I194" t="s">
        <v>3662</v>
      </c>
    </row>
    <row r="195" spans="1:9" x14ac:dyDescent="0.25">
      <c r="A195" s="43">
        <v>193</v>
      </c>
      <c r="B195" t="s">
        <v>353</v>
      </c>
      <c r="C195" s="31">
        <v>6</v>
      </c>
      <c r="D195">
        <v>10</v>
      </c>
      <c r="E195" s="31">
        <f t="shared" si="28"/>
        <v>6</v>
      </c>
      <c r="F195">
        <f t="shared" si="25"/>
        <v>2</v>
      </c>
      <c r="G195">
        <f t="shared" si="26"/>
        <v>2</v>
      </c>
      <c r="H195">
        <f t="shared" si="27"/>
        <v>2</v>
      </c>
      <c r="I195" t="s">
        <v>3662</v>
      </c>
    </row>
    <row r="196" spans="1:9" x14ac:dyDescent="0.25">
      <c r="A196" s="43">
        <v>194</v>
      </c>
      <c r="B196" t="s">
        <v>710</v>
      </c>
      <c r="C196" s="31">
        <v>4</v>
      </c>
      <c r="D196">
        <v>12</v>
      </c>
      <c r="E196" s="31">
        <f t="shared" si="28"/>
        <v>4</v>
      </c>
      <c r="F196">
        <f t="shared" si="25"/>
        <v>1</v>
      </c>
      <c r="G196">
        <f t="shared" si="26"/>
        <v>3</v>
      </c>
      <c r="H196">
        <f t="shared" si="27"/>
        <v>1</v>
      </c>
      <c r="I196" t="s">
        <v>3662</v>
      </c>
    </row>
    <row r="197" spans="1:9" x14ac:dyDescent="0.25">
      <c r="A197" s="43">
        <v>195</v>
      </c>
      <c r="B197" t="s">
        <v>711</v>
      </c>
      <c r="C197" s="31">
        <v>6</v>
      </c>
      <c r="D197">
        <v>10</v>
      </c>
      <c r="E197" s="31">
        <f t="shared" si="28"/>
        <v>6</v>
      </c>
      <c r="F197">
        <f t="shared" si="25"/>
        <v>2</v>
      </c>
      <c r="G197">
        <f t="shared" si="26"/>
        <v>2</v>
      </c>
      <c r="H197">
        <f t="shared" si="27"/>
        <v>2</v>
      </c>
      <c r="I197" t="s">
        <v>3662</v>
      </c>
    </row>
    <row r="198" spans="1:9" x14ac:dyDescent="0.25">
      <c r="A198" s="43">
        <v>196</v>
      </c>
      <c r="B198" t="s">
        <v>712</v>
      </c>
      <c r="C198" s="31">
        <v>6</v>
      </c>
      <c r="D198">
        <v>10</v>
      </c>
      <c r="E198" s="31">
        <f t="shared" si="28"/>
        <v>6</v>
      </c>
      <c r="F198">
        <f t="shared" ref="F198:F261" si="29">IF(COUNT(C198)=1, IF(C198&gt;120,6,IF(C198&gt;50,5,IF(C198&gt;24,4,IF(C198&gt;10,3,IF(C198&gt;4,2,IF(C198&gt;1,1,0)))))), "")</f>
        <v>2</v>
      </c>
      <c r="G198">
        <f t="shared" ref="G198:G261" si="30">IF(COUNT(D198)=1, IF(D198&gt;120,6,IF(D198&gt;50,5,IF(D198&gt;24,4,IF(D198&gt;10,3,IF(D198&gt;4,2,IF(D198&gt;1,1,0)))))), "")</f>
        <v>2</v>
      </c>
      <c r="H198">
        <f t="shared" ref="H198:H261" si="31">IF(COUNT(E198)=1, IF(E198&gt;120,6,IF(E198&gt;50,5,IF(E198&gt;24,4,IF(E198&gt;10,3,IF(E198&gt;4,2,IF(E198&gt;1,1,0)))))), "")</f>
        <v>2</v>
      </c>
      <c r="I198" t="s">
        <v>3662</v>
      </c>
    </row>
    <row r="199" spans="1:9" x14ac:dyDescent="0.25">
      <c r="A199" s="43">
        <v>197</v>
      </c>
      <c r="B199" t="s">
        <v>713</v>
      </c>
      <c r="C199" s="31">
        <v>5</v>
      </c>
      <c r="E199" s="31">
        <f t="shared" si="28"/>
        <v>5</v>
      </c>
      <c r="F199">
        <f t="shared" si="29"/>
        <v>2</v>
      </c>
      <c r="G199" t="str">
        <f t="shared" si="30"/>
        <v/>
      </c>
      <c r="H199">
        <f t="shared" si="31"/>
        <v>2</v>
      </c>
      <c r="I199" t="s">
        <v>3662</v>
      </c>
    </row>
    <row r="200" spans="1:9" x14ac:dyDescent="0.25">
      <c r="A200" s="43">
        <v>198</v>
      </c>
      <c r="B200" t="s">
        <v>714</v>
      </c>
      <c r="C200" s="31">
        <v>15</v>
      </c>
      <c r="D200">
        <v>20</v>
      </c>
      <c r="E200" s="31">
        <f t="shared" si="28"/>
        <v>15</v>
      </c>
      <c r="F200">
        <f t="shared" si="29"/>
        <v>3</v>
      </c>
      <c r="G200">
        <f t="shared" si="30"/>
        <v>3</v>
      </c>
      <c r="H200">
        <f t="shared" si="31"/>
        <v>3</v>
      </c>
      <c r="I200" t="s">
        <v>3662</v>
      </c>
    </row>
    <row r="201" spans="1:9" x14ac:dyDescent="0.25">
      <c r="A201" s="43">
        <v>199</v>
      </c>
      <c r="B201" t="s">
        <v>715</v>
      </c>
      <c r="C201" s="31">
        <v>5</v>
      </c>
      <c r="E201" s="31">
        <f t="shared" si="28"/>
        <v>5</v>
      </c>
      <c r="F201">
        <f t="shared" si="29"/>
        <v>2</v>
      </c>
      <c r="G201" t="str">
        <f t="shared" si="30"/>
        <v/>
      </c>
      <c r="H201">
        <f t="shared" si="31"/>
        <v>2</v>
      </c>
      <c r="I201" t="s">
        <v>3662</v>
      </c>
    </row>
    <row r="202" spans="1:9" x14ac:dyDescent="0.25">
      <c r="A202" s="43">
        <v>200</v>
      </c>
      <c r="B202" t="s">
        <v>716</v>
      </c>
      <c r="C202" s="31">
        <v>20</v>
      </c>
      <c r="D202">
        <v>30</v>
      </c>
      <c r="E202" s="31">
        <f t="shared" si="28"/>
        <v>20</v>
      </c>
      <c r="F202">
        <f t="shared" si="29"/>
        <v>3</v>
      </c>
      <c r="G202">
        <f t="shared" si="30"/>
        <v>4</v>
      </c>
      <c r="H202">
        <f t="shared" si="31"/>
        <v>3</v>
      </c>
      <c r="I202" t="s">
        <v>3662</v>
      </c>
    </row>
    <row r="203" spans="1:9" x14ac:dyDescent="0.25">
      <c r="A203" s="43">
        <v>201</v>
      </c>
      <c r="B203" t="s">
        <v>717</v>
      </c>
      <c r="C203" s="31">
        <v>5</v>
      </c>
      <c r="D203">
        <v>10</v>
      </c>
      <c r="E203" s="31">
        <f t="shared" si="28"/>
        <v>5</v>
      </c>
      <c r="F203">
        <f t="shared" si="29"/>
        <v>2</v>
      </c>
      <c r="G203">
        <f t="shared" si="30"/>
        <v>2</v>
      </c>
      <c r="H203">
        <f t="shared" si="31"/>
        <v>2</v>
      </c>
      <c r="I203" t="s">
        <v>3662</v>
      </c>
    </row>
    <row r="204" spans="1:9" x14ac:dyDescent="0.25">
      <c r="A204" s="43">
        <v>202</v>
      </c>
      <c r="B204" t="s">
        <v>718</v>
      </c>
      <c r="C204" s="31">
        <v>8</v>
      </c>
      <c r="D204">
        <v>10</v>
      </c>
      <c r="E204" s="31">
        <f t="shared" si="28"/>
        <v>8</v>
      </c>
      <c r="F204">
        <f t="shared" si="29"/>
        <v>2</v>
      </c>
      <c r="G204">
        <f t="shared" si="30"/>
        <v>2</v>
      </c>
      <c r="H204">
        <f t="shared" si="31"/>
        <v>2</v>
      </c>
      <c r="I204" t="s">
        <v>3662</v>
      </c>
    </row>
    <row r="205" spans="1:9" x14ac:dyDescent="0.25">
      <c r="A205" s="43">
        <v>203</v>
      </c>
      <c r="B205" t="s">
        <v>719</v>
      </c>
      <c r="C205" s="31">
        <v>20</v>
      </c>
      <c r="D205">
        <v>30</v>
      </c>
      <c r="E205" s="31">
        <f t="shared" si="28"/>
        <v>20</v>
      </c>
      <c r="F205">
        <f t="shared" si="29"/>
        <v>3</v>
      </c>
      <c r="G205">
        <f t="shared" si="30"/>
        <v>4</v>
      </c>
      <c r="H205">
        <f t="shared" si="31"/>
        <v>3</v>
      </c>
      <c r="I205" t="s">
        <v>3662</v>
      </c>
    </row>
    <row r="206" spans="1:9" x14ac:dyDescent="0.25">
      <c r="A206" s="43">
        <v>204</v>
      </c>
      <c r="B206" t="s">
        <v>720</v>
      </c>
      <c r="C206" s="31">
        <v>5</v>
      </c>
      <c r="D206">
        <v>10</v>
      </c>
      <c r="E206" s="31">
        <f t="shared" si="28"/>
        <v>5</v>
      </c>
      <c r="F206">
        <f t="shared" si="29"/>
        <v>2</v>
      </c>
      <c r="G206">
        <f t="shared" si="30"/>
        <v>2</v>
      </c>
      <c r="H206">
        <f t="shared" si="31"/>
        <v>2</v>
      </c>
      <c r="I206" t="s">
        <v>3662</v>
      </c>
    </row>
    <row r="207" spans="1:9" x14ac:dyDescent="0.25">
      <c r="A207" s="43">
        <v>205</v>
      </c>
      <c r="B207" t="s">
        <v>721</v>
      </c>
      <c r="C207" s="31">
        <v>14</v>
      </c>
      <c r="D207">
        <v>18</v>
      </c>
      <c r="E207" s="31">
        <f t="shared" si="28"/>
        <v>14</v>
      </c>
      <c r="F207">
        <f t="shared" si="29"/>
        <v>3</v>
      </c>
      <c r="G207">
        <f t="shared" si="30"/>
        <v>3</v>
      </c>
      <c r="H207">
        <f t="shared" si="31"/>
        <v>3</v>
      </c>
      <c r="I207" t="s">
        <v>3662</v>
      </c>
    </row>
    <row r="208" spans="1:9" x14ac:dyDescent="0.25">
      <c r="A208" s="43">
        <v>206</v>
      </c>
      <c r="B208" t="s">
        <v>722</v>
      </c>
      <c r="C208" s="31">
        <v>20</v>
      </c>
      <c r="D208">
        <v>30</v>
      </c>
      <c r="E208" s="31">
        <f t="shared" si="28"/>
        <v>20</v>
      </c>
      <c r="F208">
        <f t="shared" si="29"/>
        <v>3</v>
      </c>
      <c r="G208">
        <f t="shared" si="30"/>
        <v>4</v>
      </c>
      <c r="H208">
        <f t="shared" si="31"/>
        <v>3</v>
      </c>
      <c r="I208" t="s">
        <v>3662</v>
      </c>
    </row>
    <row r="209" spans="1:11" x14ac:dyDescent="0.25">
      <c r="A209" s="43">
        <v>207</v>
      </c>
      <c r="B209" t="s">
        <v>723</v>
      </c>
      <c r="C209" s="31">
        <v>8</v>
      </c>
      <c r="D209">
        <v>15</v>
      </c>
      <c r="E209" s="31">
        <f t="shared" si="28"/>
        <v>8</v>
      </c>
      <c r="F209">
        <f t="shared" si="29"/>
        <v>2</v>
      </c>
      <c r="G209">
        <f t="shared" si="30"/>
        <v>3</v>
      </c>
      <c r="H209">
        <f t="shared" si="31"/>
        <v>2</v>
      </c>
      <c r="I209" t="s">
        <v>3662</v>
      </c>
    </row>
    <row r="210" spans="1:11" x14ac:dyDescent="0.25">
      <c r="A210" s="43">
        <v>208</v>
      </c>
      <c r="B210" t="s">
        <v>724</v>
      </c>
      <c r="C210" s="31">
        <v>10</v>
      </c>
      <c r="D210">
        <v>20</v>
      </c>
      <c r="E210" s="31">
        <f t="shared" si="28"/>
        <v>10</v>
      </c>
      <c r="F210">
        <f t="shared" si="29"/>
        <v>2</v>
      </c>
      <c r="G210">
        <f t="shared" si="30"/>
        <v>3</v>
      </c>
      <c r="H210">
        <f t="shared" si="31"/>
        <v>2</v>
      </c>
      <c r="I210" t="s">
        <v>3662</v>
      </c>
    </row>
    <row r="211" spans="1:11" x14ac:dyDescent="0.25">
      <c r="A211" s="43">
        <v>209</v>
      </c>
      <c r="B211" t="s">
        <v>725</v>
      </c>
      <c r="C211" s="31">
        <v>5</v>
      </c>
      <c r="D211">
        <v>10</v>
      </c>
      <c r="E211" s="31">
        <f t="shared" si="28"/>
        <v>5</v>
      </c>
      <c r="F211">
        <f t="shared" si="29"/>
        <v>2</v>
      </c>
      <c r="G211">
        <f t="shared" si="30"/>
        <v>2</v>
      </c>
      <c r="H211">
        <f t="shared" si="31"/>
        <v>2</v>
      </c>
      <c r="I211" t="s">
        <v>3662</v>
      </c>
    </row>
    <row r="212" spans="1:11" x14ac:dyDescent="0.25">
      <c r="A212" s="43">
        <v>210</v>
      </c>
      <c r="B212" t="s">
        <v>726</v>
      </c>
      <c r="C212" s="31">
        <v>20</v>
      </c>
      <c r="D212">
        <v>30</v>
      </c>
      <c r="E212" s="31">
        <f t="shared" si="28"/>
        <v>20</v>
      </c>
      <c r="F212">
        <f t="shared" si="29"/>
        <v>3</v>
      </c>
      <c r="G212">
        <f t="shared" si="30"/>
        <v>4</v>
      </c>
      <c r="H212">
        <f t="shared" si="31"/>
        <v>3</v>
      </c>
      <c r="I212" t="s">
        <v>3662</v>
      </c>
    </row>
    <row r="213" spans="1:11" x14ac:dyDescent="0.25">
      <c r="A213" s="43">
        <v>211</v>
      </c>
      <c r="B213" t="s">
        <v>727</v>
      </c>
      <c r="C213" s="31">
        <v>6</v>
      </c>
      <c r="D213">
        <v>30</v>
      </c>
      <c r="E213" s="31">
        <f t="shared" si="28"/>
        <v>6</v>
      </c>
      <c r="F213">
        <f t="shared" si="29"/>
        <v>2</v>
      </c>
      <c r="G213">
        <f t="shared" si="30"/>
        <v>4</v>
      </c>
      <c r="H213">
        <f t="shared" si="31"/>
        <v>2</v>
      </c>
      <c r="I213" t="s">
        <v>3662</v>
      </c>
    </row>
    <row r="214" spans="1:11" x14ac:dyDescent="0.25">
      <c r="A214" s="43">
        <v>212</v>
      </c>
      <c r="B214" t="s">
        <v>728</v>
      </c>
      <c r="C214" s="31">
        <v>5</v>
      </c>
      <c r="E214" s="31">
        <f t="shared" si="28"/>
        <v>5</v>
      </c>
      <c r="F214">
        <f t="shared" si="29"/>
        <v>2</v>
      </c>
      <c r="G214" t="str">
        <f t="shared" si="30"/>
        <v/>
      </c>
      <c r="H214">
        <f t="shared" si="31"/>
        <v>2</v>
      </c>
      <c r="I214" t="s">
        <v>3662</v>
      </c>
    </row>
    <row r="215" spans="1:11" x14ac:dyDescent="0.25">
      <c r="A215" s="43">
        <v>213</v>
      </c>
      <c r="B215" t="s">
        <v>729</v>
      </c>
      <c r="C215" s="31">
        <v>12</v>
      </c>
      <c r="D215">
        <v>16</v>
      </c>
      <c r="E215" s="31">
        <f t="shared" si="28"/>
        <v>12</v>
      </c>
      <c r="F215">
        <f t="shared" si="29"/>
        <v>3</v>
      </c>
      <c r="G215">
        <f t="shared" si="30"/>
        <v>3</v>
      </c>
      <c r="H215">
        <f t="shared" si="31"/>
        <v>3</v>
      </c>
      <c r="I215" t="s">
        <v>3662</v>
      </c>
    </row>
    <row r="216" spans="1:11" x14ac:dyDescent="0.25">
      <c r="A216" s="43">
        <v>214</v>
      </c>
      <c r="F216" t="str">
        <f t="shared" si="29"/>
        <v/>
      </c>
      <c r="G216" t="str">
        <f t="shared" si="30"/>
        <v/>
      </c>
      <c r="H216" t="str">
        <f t="shared" si="31"/>
        <v/>
      </c>
    </row>
    <row r="217" spans="1:11" x14ac:dyDescent="0.25">
      <c r="A217" s="43">
        <v>215</v>
      </c>
      <c r="B217" s="28" t="s">
        <v>584</v>
      </c>
      <c r="C217" s="31">
        <f>MAX(C103:C215)</f>
        <v>24</v>
      </c>
      <c r="D217" s="31">
        <f t="shared" ref="D217:E217" si="32">MAX(D103:D215)</f>
        <v>50</v>
      </c>
      <c r="E217" s="31">
        <f t="shared" si="32"/>
        <v>24</v>
      </c>
      <c r="F217">
        <f t="shared" si="29"/>
        <v>3</v>
      </c>
      <c r="G217">
        <f t="shared" si="30"/>
        <v>4</v>
      </c>
      <c r="H217">
        <f t="shared" si="31"/>
        <v>3</v>
      </c>
      <c r="I217" t="s">
        <v>3662</v>
      </c>
    </row>
    <row r="218" spans="1:11" x14ac:dyDescent="0.25">
      <c r="A218" s="43">
        <v>216</v>
      </c>
      <c r="B218" s="28" t="s">
        <v>585</v>
      </c>
      <c r="C218" s="31">
        <f>MIN(C103:C215)</f>
        <v>2</v>
      </c>
      <c r="D218" s="31">
        <f t="shared" ref="D218:E218" si="33">MIN(D103:D215)</f>
        <v>4</v>
      </c>
      <c r="E218" s="31">
        <f t="shared" si="33"/>
        <v>2</v>
      </c>
      <c r="F218">
        <f t="shared" si="29"/>
        <v>1</v>
      </c>
      <c r="G218">
        <f t="shared" si="30"/>
        <v>1</v>
      </c>
      <c r="H218">
        <f t="shared" si="31"/>
        <v>1</v>
      </c>
      <c r="I218" t="s">
        <v>3662</v>
      </c>
    </row>
    <row r="219" spans="1:11" x14ac:dyDescent="0.25">
      <c r="A219" s="43">
        <v>217</v>
      </c>
      <c r="B219" s="28" t="s">
        <v>547</v>
      </c>
      <c r="C219" s="31">
        <f>AVERAGE(C103:C215)</f>
        <v>10.743362831858407</v>
      </c>
      <c r="D219" s="31">
        <f t="shared" ref="D219:E219" si="34">AVERAGE(D103:D215)</f>
        <v>17.217821782178216</v>
      </c>
      <c r="E219" s="31">
        <f t="shared" si="34"/>
        <v>10.743362831858407</v>
      </c>
      <c r="F219">
        <f t="shared" si="29"/>
        <v>3</v>
      </c>
      <c r="G219">
        <f t="shared" si="30"/>
        <v>3</v>
      </c>
      <c r="H219">
        <f t="shared" si="31"/>
        <v>3</v>
      </c>
      <c r="I219" t="s">
        <v>3662</v>
      </c>
    </row>
    <row r="220" spans="1:11" x14ac:dyDescent="0.25">
      <c r="A220" s="43">
        <v>218</v>
      </c>
      <c r="F220" t="str">
        <f t="shared" si="29"/>
        <v/>
      </c>
      <c r="G220" t="str">
        <f t="shared" si="30"/>
        <v/>
      </c>
      <c r="H220" t="str">
        <f t="shared" si="31"/>
        <v/>
      </c>
    </row>
    <row r="221" spans="1:11" x14ac:dyDescent="0.25">
      <c r="A221" s="43">
        <v>219</v>
      </c>
      <c r="B221" t="s">
        <v>730</v>
      </c>
      <c r="C221" s="31">
        <v>8</v>
      </c>
      <c r="D221">
        <v>15</v>
      </c>
      <c r="E221" s="31">
        <f t="shared" ref="E221:E240" si="35">AVERAGE(C221:C221)</f>
        <v>8</v>
      </c>
      <c r="F221">
        <f t="shared" si="29"/>
        <v>2</v>
      </c>
      <c r="G221">
        <f t="shared" si="30"/>
        <v>3</v>
      </c>
      <c r="H221">
        <f t="shared" si="31"/>
        <v>2</v>
      </c>
      <c r="I221" t="s">
        <v>731</v>
      </c>
      <c r="K221" t="s">
        <v>3658</v>
      </c>
    </row>
    <row r="222" spans="1:11" x14ac:dyDescent="0.25">
      <c r="A222" s="43">
        <v>220</v>
      </c>
      <c r="B222" t="s">
        <v>732</v>
      </c>
      <c r="C222" s="31">
        <v>20</v>
      </c>
      <c r="D222">
        <v>30</v>
      </c>
      <c r="E222" s="31">
        <f t="shared" si="35"/>
        <v>20</v>
      </c>
      <c r="F222">
        <f t="shared" si="29"/>
        <v>3</v>
      </c>
      <c r="G222">
        <f t="shared" si="30"/>
        <v>4</v>
      </c>
      <c r="H222">
        <f t="shared" si="31"/>
        <v>3</v>
      </c>
      <c r="I222" t="s">
        <v>731</v>
      </c>
      <c r="K222" t="s">
        <v>3657</v>
      </c>
    </row>
    <row r="223" spans="1:11" x14ac:dyDescent="0.25">
      <c r="A223" s="43">
        <v>221</v>
      </c>
      <c r="B223" t="s">
        <v>733</v>
      </c>
      <c r="C223" s="31">
        <v>6</v>
      </c>
      <c r="D223">
        <v>10</v>
      </c>
      <c r="E223" s="31">
        <f t="shared" si="35"/>
        <v>6</v>
      </c>
      <c r="F223">
        <f t="shared" si="29"/>
        <v>2</v>
      </c>
      <c r="G223">
        <f t="shared" si="30"/>
        <v>2</v>
      </c>
      <c r="H223">
        <f t="shared" si="31"/>
        <v>2</v>
      </c>
      <c r="I223" t="s">
        <v>731</v>
      </c>
    </row>
    <row r="224" spans="1:11" x14ac:dyDescent="0.25">
      <c r="A224" s="43">
        <v>222</v>
      </c>
      <c r="B224" t="s">
        <v>734</v>
      </c>
      <c r="C224" s="31">
        <v>15</v>
      </c>
      <c r="D224">
        <v>20</v>
      </c>
      <c r="E224" s="31">
        <f t="shared" si="35"/>
        <v>15</v>
      </c>
      <c r="F224">
        <f t="shared" si="29"/>
        <v>3</v>
      </c>
      <c r="G224">
        <f t="shared" si="30"/>
        <v>3</v>
      </c>
      <c r="H224">
        <f t="shared" si="31"/>
        <v>3</v>
      </c>
      <c r="I224" t="s">
        <v>731</v>
      </c>
    </row>
    <row r="225" spans="1:9" x14ac:dyDescent="0.25">
      <c r="A225" s="43">
        <v>223</v>
      </c>
      <c r="B225" t="s">
        <v>735</v>
      </c>
      <c r="C225" s="31">
        <v>6</v>
      </c>
      <c r="D225">
        <v>20</v>
      </c>
      <c r="E225" s="31">
        <f t="shared" si="35"/>
        <v>6</v>
      </c>
      <c r="F225">
        <f t="shared" si="29"/>
        <v>2</v>
      </c>
      <c r="G225">
        <f t="shared" si="30"/>
        <v>3</v>
      </c>
      <c r="H225">
        <f t="shared" si="31"/>
        <v>2</v>
      </c>
      <c r="I225" t="s">
        <v>731</v>
      </c>
    </row>
    <row r="226" spans="1:9" x14ac:dyDescent="0.25">
      <c r="A226" s="43">
        <v>224</v>
      </c>
      <c r="B226" t="s">
        <v>736</v>
      </c>
      <c r="C226" s="31">
        <v>15</v>
      </c>
      <c r="D226">
        <v>20</v>
      </c>
      <c r="E226" s="31">
        <f t="shared" si="35"/>
        <v>15</v>
      </c>
      <c r="F226">
        <f t="shared" si="29"/>
        <v>3</v>
      </c>
      <c r="G226">
        <f t="shared" si="30"/>
        <v>3</v>
      </c>
      <c r="H226">
        <f t="shared" si="31"/>
        <v>3</v>
      </c>
      <c r="I226" t="s">
        <v>731</v>
      </c>
    </row>
    <row r="227" spans="1:9" x14ac:dyDescent="0.25">
      <c r="A227" s="43">
        <v>225</v>
      </c>
      <c r="B227" t="s">
        <v>737</v>
      </c>
      <c r="C227" s="31">
        <v>8</v>
      </c>
      <c r="D227">
        <v>12</v>
      </c>
      <c r="E227" s="31">
        <f t="shared" si="35"/>
        <v>8</v>
      </c>
      <c r="F227">
        <f t="shared" si="29"/>
        <v>2</v>
      </c>
      <c r="G227">
        <f t="shared" si="30"/>
        <v>3</v>
      </c>
      <c r="H227">
        <f t="shared" si="31"/>
        <v>2</v>
      </c>
      <c r="I227" t="s">
        <v>731</v>
      </c>
    </row>
    <row r="228" spans="1:9" x14ac:dyDescent="0.25">
      <c r="A228" s="43">
        <v>226</v>
      </c>
      <c r="B228" t="s">
        <v>738</v>
      </c>
      <c r="C228" s="31">
        <v>20</v>
      </c>
      <c r="D228">
        <v>30</v>
      </c>
      <c r="E228" s="31">
        <f t="shared" si="35"/>
        <v>20</v>
      </c>
      <c r="F228">
        <f t="shared" si="29"/>
        <v>3</v>
      </c>
      <c r="G228">
        <f t="shared" si="30"/>
        <v>4</v>
      </c>
      <c r="H228">
        <f t="shared" si="31"/>
        <v>3</v>
      </c>
      <c r="I228" t="s">
        <v>731</v>
      </c>
    </row>
    <row r="229" spans="1:9" x14ac:dyDescent="0.25">
      <c r="A229" s="43">
        <v>227</v>
      </c>
      <c r="B229" t="s">
        <v>739</v>
      </c>
      <c r="C229" s="31">
        <v>4</v>
      </c>
      <c r="D229">
        <v>6</v>
      </c>
      <c r="E229" s="31">
        <f t="shared" si="35"/>
        <v>4</v>
      </c>
      <c r="F229">
        <f t="shared" si="29"/>
        <v>1</v>
      </c>
      <c r="G229">
        <f t="shared" si="30"/>
        <v>2</v>
      </c>
      <c r="H229">
        <f t="shared" si="31"/>
        <v>1</v>
      </c>
      <c r="I229" t="s">
        <v>731</v>
      </c>
    </row>
    <row r="230" spans="1:9" x14ac:dyDescent="0.25">
      <c r="A230" s="43">
        <v>228</v>
      </c>
      <c r="B230" t="s">
        <v>740</v>
      </c>
      <c r="C230" s="31">
        <v>15</v>
      </c>
      <c r="D230">
        <v>60</v>
      </c>
      <c r="E230" s="31">
        <f t="shared" si="35"/>
        <v>15</v>
      </c>
      <c r="F230">
        <f t="shared" si="29"/>
        <v>3</v>
      </c>
      <c r="G230">
        <f t="shared" si="30"/>
        <v>5</v>
      </c>
      <c r="H230">
        <f t="shared" si="31"/>
        <v>3</v>
      </c>
      <c r="I230" t="s">
        <v>731</v>
      </c>
    </row>
    <row r="231" spans="1:9" x14ac:dyDescent="0.25">
      <c r="A231" s="43">
        <v>229</v>
      </c>
      <c r="B231" t="s">
        <v>741</v>
      </c>
      <c r="C231" s="31">
        <v>6</v>
      </c>
      <c r="D231">
        <v>12</v>
      </c>
      <c r="E231" s="31">
        <f t="shared" si="35"/>
        <v>6</v>
      </c>
      <c r="F231">
        <f t="shared" si="29"/>
        <v>2</v>
      </c>
      <c r="G231">
        <f t="shared" si="30"/>
        <v>3</v>
      </c>
      <c r="H231">
        <f t="shared" si="31"/>
        <v>2</v>
      </c>
      <c r="I231" t="s">
        <v>731</v>
      </c>
    </row>
    <row r="232" spans="1:9" x14ac:dyDescent="0.25">
      <c r="A232" s="43">
        <v>230</v>
      </c>
      <c r="B232" t="s">
        <v>742</v>
      </c>
      <c r="C232" s="31">
        <v>6</v>
      </c>
      <c r="D232">
        <v>10</v>
      </c>
      <c r="E232" s="31">
        <f t="shared" si="35"/>
        <v>6</v>
      </c>
      <c r="F232">
        <f t="shared" si="29"/>
        <v>2</v>
      </c>
      <c r="G232">
        <f t="shared" si="30"/>
        <v>2</v>
      </c>
      <c r="H232">
        <f t="shared" si="31"/>
        <v>2</v>
      </c>
      <c r="I232" t="s">
        <v>731</v>
      </c>
    </row>
    <row r="233" spans="1:9" x14ac:dyDescent="0.25">
      <c r="A233" s="43">
        <v>231</v>
      </c>
      <c r="B233" t="s">
        <v>743</v>
      </c>
      <c r="C233" s="31">
        <v>4</v>
      </c>
      <c r="D233">
        <v>10</v>
      </c>
      <c r="E233" s="31">
        <f t="shared" si="35"/>
        <v>4</v>
      </c>
      <c r="F233">
        <f t="shared" si="29"/>
        <v>1</v>
      </c>
      <c r="G233">
        <f t="shared" si="30"/>
        <v>2</v>
      </c>
      <c r="H233">
        <f t="shared" si="31"/>
        <v>1</v>
      </c>
      <c r="I233" t="s">
        <v>731</v>
      </c>
    </row>
    <row r="234" spans="1:9" x14ac:dyDescent="0.25">
      <c r="A234" s="43">
        <v>232</v>
      </c>
      <c r="B234" t="s">
        <v>744</v>
      </c>
      <c r="C234" s="31">
        <v>4</v>
      </c>
      <c r="D234">
        <v>10</v>
      </c>
      <c r="E234" s="31">
        <f t="shared" si="35"/>
        <v>4</v>
      </c>
      <c r="F234">
        <f t="shared" si="29"/>
        <v>1</v>
      </c>
      <c r="G234">
        <f t="shared" si="30"/>
        <v>2</v>
      </c>
      <c r="H234">
        <f t="shared" si="31"/>
        <v>1</v>
      </c>
      <c r="I234" t="s">
        <v>731</v>
      </c>
    </row>
    <row r="235" spans="1:9" x14ac:dyDescent="0.25">
      <c r="A235" s="43">
        <v>233</v>
      </c>
      <c r="B235" t="s">
        <v>745</v>
      </c>
      <c r="C235" s="31">
        <v>10</v>
      </c>
      <c r="D235">
        <v>50</v>
      </c>
      <c r="E235" s="31">
        <f t="shared" si="35"/>
        <v>10</v>
      </c>
      <c r="F235">
        <f t="shared" si="29"/>
        <v>2</v>
      </c>
      <c r="G235">
        <f t="shared" si="30"/>
        <v>4</v>
      </c>
      <c r="H235">
        <f t="shared" si="31"/>
        <v>2</v>
      </c>
      <c r="I235" t="s">
        <v>731</v>
      </c>
    </row>
    <row r="236" spans="1:9" x14ac:dyDescent="0.25">
      <c r="A236" s="43">
        <v>234</v>
      </c>
      <c r="B236" t="s">
        <v>746</v>
      </c>
      <c r="C236" s="31">
        <v>15</v>
      </c>
      <c r="D236">
        <v>20</v>
      </c>
      <c r="E236" s="31">
        <f t="shared" si="35"/>
        <v>15</v>
      </c>
      <c r="F236">
        <f t="shared" si="29"/>
        <v>3</v>
      </c>
      <c r="G236">
        <f t="shared" si="30"/>
        <v>3</v>
      </c>
      <c r="H236">
        <f t="shared" si="31"/>
        <v>3</v>
      </c>
      <c r="I236" t="s">
        <v>731</v>
      </c>
    </row>
    <row r="237" spans="1:9" x14ac:dyDescent="0.25">
      <c r="A237" s="43">
        <v>235</v>
      </c>
      <c r="B237" t="s">
        <v>747</v>
      </c>
      <c r="C237" s="31">
        <v>5</v>
      </c>
      <c r="E237" s="31">
        <f t="shared" si="35"/>
        <v>5</v>
      </c>
      <c r="F237">
        <f t="shared" si="29"/>
        <v>2</v>
      </c>
      <c r="G237" t="str">
        <f t="shared" si="30"/>
        <v/>
      </c>
      <c r="H237">
        <f t="shared" si="31"/>
        <v>2</v>
      </c>
      <c r="I237" t="s">
        <v>731</v>
      </c>
    </row>
    <row r="238" spans="1:9" x14ac:dyDescent="0.25">
      <c r="A238" s="43">
        <v>236</v>
      </c>
      <c r="B238" t="s">
        <v>748</v>
      </c>
      <c r="C238" s="31">
        <v>8</v>
      </c>
      <c r="D238">
        <v>15</v>
      </c>
      <c r="E238" s="31">
        <f t="shared" si="35"/>
        <v>8</v>
      </c>
      <c r="F238">
        <f t="shared" si="29"/>
        <v>2</v>
      </c>
      <c r="G238">
        <f t="shared" si="30"/>
        <v>3</v>
      </c>
      <c r="H238">
        <f t="shared" si="31"/>
        <v>2</v>
      </c>
      <c r="I238" t="s">
        <v>731</v>
      </c>
    </row>
    <row r="239" spans="1:9" x14ac:dyDescent="0.25">
      <c r="A239" s="43">
        <v>237</v>
      </c>
      <c r="B239" t="s">
        <v>749</v>
      </c>
      <c r="C239" s="31">
        <v>6</v>
      </c>
      <c r="D239">
        <v>30</v>
      </c>
      <c r="E239" s="31">
        <f t="shared" si="35"/>
        <v>6</v>
      </c>
      <c r="F239">
        <f t="shared" si="29"/>
        <v>2</v>
      </c>
      <c r="G239">
        <f t="shared" si="30"/>
        <v>4</v>
      </c>
      <c r="H239">
        <f t="shared" si="31"/>
        <v>2</v>
      </c>
      <c r="I239" t="s">
        <v>731</v>
      </c>
    </row>
    <row r="240" spans="1:9" x14ac:dyDescent="0.25">
      <c r="A240" s="43">
        <v>238</v>
      </c>
      <c r="B240" t="s">
        <v>750</v>
      </c>
      <c r="C240" s="31">
        <v>4</v>
      </c>
      <c r="E240" s="31">
        <f t="shared" si="35"/>
        <v>4</v>
      </c>
      <c r="F240">
        <f t="shared" si="29"/>
        <v>1</v>
      </c>
      <c r="G240" t="str">
        <f t="shared" si="30"/>
        <v/>
      </c>
      <c r="H240">
        <f t="shared" si="31"/>
        <v>1</v>
      </c>
      <c r="I240" t="s">
        <v>731</v>
      </c>
    </row>
    <row r="241" spans="1:10" x14ac:dyDescent="0.25">
      <c r="A241" s="43">
        <v>239</v>
      </c>
      <c r="F241" t="str">
        <f t="shared" si="29"/>
        <v/>
      </c>
      <c r="G241" t="str">
        <f t="shared" si="30"/>
        <v/>
      </c>
      <c r="H241" t="str">
        <f t="shared" si="31"/>
        <v/>
      </c>
    </row>
    <row r="242" spans="1:10" x14ac:dyDescent="0.25">
      <c r="A242" s="43">
        <v>240</v>
      </c>
      <c r="B242" s="28" t="s">
        <v>584</v>
      </c>
      <c r="C242" s="31">
        <f>MAX(C221:C240)</f>
        <v>20</v>
      </c>
      <c r="D242" s="31">
        <f t="shared" ref="D242:E242" si="36">MAX(D221:D240)</f>
        <v>60</v>
      </c>
      <c r="E242" s="31">
        <f t="shared" si="36"/>
        <v>20</v>
      </c>
      <c r="F242">
        <f t="shared" si="29"/>
        <v>3</v>
      </c>
      <c r="G242">
        <f t="shared" si="30"/>
        <v>5</v>
      </c>
      <c r="H242">
        <f t="shared" si="31"/>
        <v>3</v>
      </c>
      <c r="I242" t="s">
        <v>731</v>
      </c>
    </row>
    <row r="243" spans="1:10" x14ac:dyDescent="0.25">
      <c r="A243" s="43">
        <v>241</v>
      </c>
      <c r="B243" s="28" t="s">
        <v>585</v>
      </c>
      <c r="C243" s="31">
        <f>MIN(C221:C240)</f>
        <v>4</v>
      </c>
      <c r="D243" s="31">
        <f t="shared" ref="D243:E243" si="37">MIN(D221:D240)</f>
        <v>6</v>
      </c>
      <c r="E243" s="31">
        <f t="shared" si="37"/>
        <v>4</v>
      </c>
      <c r="F243">
        <f t="shared" si="29"/>
        <v>1</v>
      </c>
      <c r="G243">
        <f t="shared" si="30"/>
        <v>2</v>
      </c>
      <c r="H243">
        <f t="shared" si="31"/>
        <v>1</v>
      </c>
      <c r="I243" t="s">
        <v>731</v>
      </c>
    </row>
    <row r="244" spans="1:10" x14ac:dyDescent="0.25">
      <c r="A244" s="43">
        <v>242</v>
      </c>
      <c r="B244" s="28" t="s">
        <v>547</v>
      </c>
      <c r="C244" s="31">
        <f>AVERAGE(C221:C240)</f>
        <v>9.25</v>
      </c>
      <c r="D244" s="31">
        <f t="shared" ref="D244:E244" si="38">AVERAGE(D221:D240)</f>
        <v>21.111111111111111</v>
      </c>
      <c r="E244" s="31">
        <f t="shared" si="38"/>
        <v>9.25</v>
      </c>
      <c r="F244">
        <f t="shared" si="29"/>
        <v>2</v>
      </c>
      <c r="G244">
        <f t="shared" si="30"/>
        <v>3</v>
      </c>
      <c r="H244">
        <f t="shared" si="31"/>
        <v>2</v>
      </c>
      <c r="I244" t="s">
        <v>731</v>
      </c>
    </row>
    <row r="245" spans="1:10" x14ac:dyDescent="0.25">
      <c r="A245" s="43">
        <v>243</v>
      </c>
      <c r="F245" t="str">
        <f t="shared" si="29"/>
        <v/>
      </c>
      <c r="G245" t="str">
        <f t="shared" si="30"/>
        <v/>
      </c>
      <c r="H245" t="str">
        <f t="shared" si="31"/>
        <v/>
      </c>
    </row>
    <row r="246" spans="1:10" x14ac:dyDescent="0.25">
      <c r="A246" s="43">
        <v>244</v>
      </c>
      <c r="B246" t="s">
        <v>751</v>
      </c>
      <c r="C246" s="31">
        <v>15</v>
      </c>
      <c r="D246">
        <v>30</v>
      </c>
      <c r="E246" s="31">
        <f t="shared" ref="E246:E270" si="39">AVERAGE(C246:C246)</f>
        <v>15</v>
      </c>
      <c r="F246">
        <f t="shared" si="29"/>
        <v>3</v>
      </c>
      <c r="G246">
        <f t="shared" si="30"/>
        <v>4</v>
      </c>
      <c r="H246">
        <f t="shared" si="31"/>
        <v>3</v>
      </c>
      <c r="I246" t="s">
        <v>752</v>
      </c>
      <c r="J246" t="s">
        <v>3656</v>
      </c>
    </row>
    <row r="247" spans="1:10" x14ac:dyDescent="0.25">
      <c r="A247" s="43">
        <v>245</v>
      </c>
      <c r="B247" t="s">
        <v>753</v>
      </c>
      <c r="C247" s="31">
        <v>3</v>
      </c>
      <c r="D247">
        <v>4</v>
      </c>
      <c r="E247" s="31">
        <f t="shared" si="39"/>
        <v>3</v>
      </c>
      <c r="F247">
        <f t="shared" si="29"/>
        <v>1</v>
      </c>
      <c r="G247">
        <f t="shared" si="30"/>
        <v>1</v>
      </c>
      <c r="H247">
        <f t="shared" si="31"/>
        <v>1</v>
      </c>
      <c r="I247" t="s">
        <v>752</v>
      </c>
    </row>
    <row r="248" spans="1:10" x14ac:dyDescent="0.25">
      <c r="A248" s="43">
        <v>246</v>
      </c>
      <c r="B248" t="s">
        <v>754</v>
      </c>
      <c r="C248" s="31">
        <v>5</v>
      </c>
      <c r="D248">
        <v>6</v>
      </c>
      <c r="E248" s="31">
        <f t="shared" si="39"/>
        <v>5</v>
      </c>
      <c r="F248">
        <f t="shared" si="29"/>
        <v>2</v>
      </c>
      <c r="G248">
        <f t="shared" si="30"/>
        <v>2</v>
      </c>
      <c r="H248">
        <f t="shared" si="31"/>
        <v>2</v>
      </c>
      <c r="I248" t="s">
        <v>752</v>
      </c>
    </row>
    <row r="249" spans="1:10" x14ac:dyDescent="0.25">
      <c r="A249" s="43">
        <v>247</v>
      </c>
      <c r="B249" t="s">
        <v>755</v>
      </c>
      <c r="C249" s="31">
        <v>6</v>
      </c>
      <c r="D249">
        <v>7</v>
      </c>
      <c r="E249" s="31">
        <f t="shared" si="39"/>
        <v>6</v>
      </c>
      <c r="F249">
        <f t="shared" si="29"/>
        <v>2</v>
      </c>
      <c r="G249">
        <f t="shared" si="30"/>
        <v>2</v>
      </c>
      <c r="H249">
        <f t="shared" si="31"/>
        <v>2</v>
      </c>
      <c r="I249" t="s">
        <v>752</v>
      </c>
    </row>
    <row r="250" spans="1:10" x14ac:dyDescent="0.25">
      <c r="A250" s="43">
        <v>248</v>
      </c>
      <c r="B250" t="s">
        <v>756</v>
      </c>
      <c r="C250" s="31">
        <v>6</v>
      </c>
      <c r="D250">
        <v>8</v>
      </c>
      <c r="E250" s="31">
        <f t="shared" si="39"/>
        <v>6</v>
      </c>
      <c r="F250">
        <f t="shared" si="29"/>
        <v>2</v>
      </c>
      <c r="G250">
        <f t="shared" si="30"/>
        <v>2</v>
      </c>
      <c r="H250">
        <f t="shared" si="31"/>
        <v>2</v>
      </c>
      <c r="I250" t="s">
        <v>752</v>
      </c>
    </row>
    <row r="251" spans="1:10" x14ac:dyDescent="0.25">
      <c r="A251" s="43">
        <v>249</v>
      </c>
      <c r="B251" t="s">
        <v>757</v>
      </c>
      <c r="C251" s="31">
        <v>7</v>
      </c>
      <c r="D251">
        <v>8</v>
      </c>
      <c r="E251" s="31">
        <f t="shared" si="39"/>
        <v>7</v>
      </c>
      <c r="F251">
        <f t="shared" si="29"/>
        <v>2</v>
      </c>
      <c r="G251">
        <f t="shared" si="30"/>
        <v>2</v>
      </c>
      <c r="H251">
        <f t="shared" si="31"/>
        <v>2</v>
      </c>
      <c r="I251" t="s">
        <v>752</v>
      </c>
    </row>
    <row r="252" spans="1:10" x14ac:dyDescent="0.25">
      <c r="A252" s="43">
        <v>250</v>
      </c>
      <c r="B252" t="s">
        <v>758</v>
      </c>
      <c r="C252" s="31">
        <v>8</v>
      </c>
      <c r="D252">
        <v>9</v>
      </c>
      <c r="E252" s="31">
        <f t="shared" si="39"/>
        <v>8</v>
      </c>
      <c r="F252">
        <f t="shared" si="29"/>
        <v>2</v>
      </c>
      <c r="G252">
        <f t="shared" si="30"/>
        <v>2</v>
      </c>
      <c r="H252">
        <f t="shared" si="31"/>
        <v>2</v>
      </c>
      <c r="I252" t="s">
        <v>752</v>
      </c>
    </row>
    <row r="253" spans="1:10" x14ac:dyDescent="0.25">
      <c r="A253" s="43">
        <v>251</v>
      </c>
      <c r="B253" t="s">
        <v>759</v>
      </c>
      <c r="C253" s="31">
        <v>6</v>
      </c>
      <c r="D253">
        <v>8</v>
      </c>
      <c r="E253" s="31">
        <f t="shared" si="39"/>
        <v>6</v>
      </c>
      <c r="F253">
        <f t="shared" si="29"/>
        <v>2</v>
      </c>
      <c r="G253">
        <f t="shared" si="30"/>
        <v>2</v>
      </c>
      <c r="H253">
        <f t="shared" si="31"/>
        <v>2</v>
      </c>
      <c r="I253" t="s">
        <v>752</v>
      </c>
    </row>
    <row r="254" spans="1:10" x14ac:dyDescent="0.25">
      <c r="A254" s="43">
        <v>252</v>
      </c>
      <c r="B254" t="s">
        <v>760</v>
      </c>
      <c r="C254" s="31">
        <v>7</v>
      </c>
      <c r="D254">
        <v>8</v>
      </c>
      <c r="E254" s="31">
        <f t="shared" si="39"/>
        <v>7</v>
      </c>
      <c r="F254">
        <f t="shared" si="29"/>
        <v>2</v>
      </c>
      <c r="G254">
        <f t="shared" si="30"/>
        <v>2</v>
      </c>
      <c r="H254">
        <f t="shared" si="31"/>
        <v>2</v>
      </c>
      <c r="I254" t="s">
        <v>752</v>
      </c>
    </row>
    <row r="255" spans="1:10" x14ac:dyDescent="0.25">
      <c r="A255" s="43">
        <v>253</v>
      </c>
      <c r="B255" t="s">
        <v>761</v>
      </c>
      <c r="C255" s="31">
        <v>8</v>
      </c>
      <c r="D255">
        <v>12</v>
      </c>
      <c r="E255" s="31">
        <f t="shared" si="39"/>
        <v>8</v>
      </c>
      <c r="F255">
        <f t="shared" si="29"/>
        <v>2</v>
      </c>
      <c r="G255">
        <f t="shared" si="30"/>
        <v>3</v>
      </c>
      <c r="H255">
        <f t="shared" si="31"/>
        <v>2</v>
      </c>
      <c r="I255" t="s">
        <v>752</v>
      </c>
    </row>
    <row r="256" spans="1:10" x14ac:dyDescent="0.25">
      <c r="A256" s="43">
        <v>254</v>
      </c>
      <c r="B256" t="s">
        <v>762</v>
      </c>
      <c r="C256" s="31">
        <v>10</v>
      </c>
      <c r="D256">
        <v>12</v>
      </c>
      <c r="E256" s="31">
        <f t="shared" si="39"/>
        <v>10</v>
      </c>
      <c r="F256">
        <f t="shared" si="29"/>
        <v>2</v>
      </c>
      <c r="G256">
        <f t="shared" si="30"/>
        <v>3</v>
      </c>
      <c r="H256">
        <f t="shared" si="31"/>
        <v>2</v>
      </c>
      <c r="I256" t="s">
        <v>752</v>
      </c>
    </row>
    <row r="257" spans="1:9" x14ac:dyDescent="0.25">
      <c r="A257" s="43">
        <v>255</v>
      </c>
      <c r="B257" t="s">
        <v>736</v>
      </c>
      <c r="C257" s="31">
        <v>10</v>
      </c>
      <c r="D257">
        <v>14</v>
      </c>
      <c r="E257" s="31">
        <f t="shared" si="39"/>
        <v>10</v>
      </c>
      <c r="F257">
        <f t="shared" si="29"/>
        <v>2</v>
      </c>
      <c r="G257">
        <f t="shared" si="30"/>
        <v>3</v>
      </c>
      <c r="H257">
        <f t="shared" si="31"/>
        <v>2</v>
      </c>
      <c r="I257" t="s">
        <v>752</v>
      </c>
    </row>
    <row r="258" spans="1:9" x14ac:dyDescent="0.25">
      <c r="A258" s="43">
        <v>256</v>
      </c>
      <c r="B258" t="s">
        <v>763</v>
      </c>
      <c r="C258" s="31">
        <v>8</v>
      </c>
      <c r="D258">
        <v>10</v>
      </c>
      <c r="E258" s="31">
        <f t="shared" si="39"/>
        <v>8</v>
      </c>
      <c r="F258">
        <f t="shared" si="29"/>
        <v>2</v>
      </c>
      <c r="G258">
        <f t="shared" si="30"/>
        <v>2</v>
      </c>
      <c r="H258">
        <f t="shared" si="31"/>
        <v>2</v>
      </c>
      <c r="I258" t="s">
        <v>752</v>
      </c>
    </row>
    <row r="259" spans="1:9" x14ac:dyDescent="0.25">
      <c r="A259" s="43">
        <v>257</v>
      </c>
      <c r="B259" t="s">
        <v>764</v>
      </c>
      <c r="C259" s="31">
        <v>10</v>
      </c>
      <c r="D259">
        <v>12</v>
      </c>
      <c r="E259" s="31">
        <f t="shared" si="39"/>
        <v>10</v>
      </c>
      <c r="F259">
        <f t="shared" si="29"/>
        <v>2</v>
      </c>
      <c r="G259">
        <f t="shared" si="30"/>
        <v>3</v>
      </c>
      <c r="H259">
        <f t="shared" si="31"/>
        <v>2</v>
      </c>
      <c r="I259" t="s">
        <v>752</v>
      </c>
    </row>
    <row r="260" spans="1:9" x14ac:dyDescent="0.25">
      <c r="A260" s="43">
        <v>258</v>
      </c>
      <c r="B260" t="s">
        <v>765</v>
      </c>
      <c r="C260" s="31">
        <v>15</v>
      </c>
      <c r="D260">
        <v>20</v>
      </c>
      <c r="E260" s="31">
        <f t="shared" si="39"/>
        <v>15</v>
      </c>
      <c r="F260">
        <f t="shared" si="29"/>
        <v>3</v>
      </c>
      <c r="G260">
        <f t="shared" si="30"/>
        <v>3</v>
      </c>
      <c r="H260">
        <f t="shared" si="31"/>
        <v>3</v>
      </c>
      <c r="I260" t="s">
        <v>752</v>
      </c>
    </row>
    <row r="261" spans="1:9" x14ac:dyDescent="0.25">
      <c r="A261" s="43">
        <v>259</v>
      </c>
      <c r="B261" t="s">
        <v>766</v>
      </c>
      <c r="C261" s="31">
        <v>6</v>
      </c>
      <c r="D261">
        <v>8</v>
      </c>
      <c r="E261" s="31">
        <f t="shared" si="39"/>
        <v>6</v>
      </c>
      <c r="F261">
        <f t="shared" si="29"/>
        <v>2</v>
      </c>
      <c r="G261">
        <f t="shared" si="30"/>
        <v>2</v>
      </c>
      <c r="H261">
        <f t="shared" si="31"/>
        <v>2</v>
      </c>
      <c r="I261" t="s">
        <v>752</v>
      </c>
    </row>
    <row r="262" spans="1:9" x14ac:dyDescent="0.25">
      <c r="A262" s="43">
        <v>260</v>
      </c>
      <c r="B262" t="s">
        <v>767</v>
      </c>
      <c r="C262" s="31">
        <v>6</v>
      </c>
      <c r="D262">
        <v>10</v>
      </c>
      <c r="E262" s="31">
        <f t="shared" si="39"/>
        <v>6</v>
      </c>
      <c r="F262">
        <f t="shared" ref="F262:F325" si="40">IF(COUNT(C262)=1, IF(C262&gt;120,6,IF(C262&gt;50,5,IF(C262&gt;24,4,IF(C262&gt;10,3,IF(C262&gt;4,2,IF(C262&gt;1,1,0)))))), "")</f>
        <v>2</v>
      </c>
      <c r="G262">
        <f t="shared" ref="G262:G325" si="41">IF(COUNT(D262)=1, IF(D262&gt;120,6,IF(D262&gt;50,5,IF(D262&gt;24,4,IF(D262&gt;10,3,IF(D262&gt;4,2,IF(D262&gt;1,1,0)))))), "")</f>
        <v>2</v>
      </c>
      <c r="H262">
        <f t="shared" ref="H262:H325" si="42">IF(COUNT(E262)=1, IF(E262&gt;120,6,IF(E262&gt;50,5,IF(E262&gt;24,4,IF(E262&gt;10,3,IF(E262&gt;4,2,IF(E262&gt;1,1,0)))))), "")</f>
        <v>2</v>
      </c>
      <c r="I262" t="s">
        <v>752</v>
      </c>
    </row>
    <row r="263" spans="1:9" x14ac:dyDescent="0.25">
      <c r="A263" s="43">
        <v>261</v>
      </c>
      <c r="B263" t="s">
        <v>768</v>
      </c>
      <c r="C263" s="31">
        <v>8</v>
      </c>
      <c r="D263">
        <v>10</v>
      </c>
      <c r="E263" s="31">
        <f t="shared" si="39"/>
        <v>8</v>
      </c>
      <c r="F263">
        <f t="shared" si="40"/>
        <v>2</v>
      </c>
      <c r="G263">
        <f t="shared" si="41"/>
        <v>2</v>
      </c>
      <c r="H263">
        <f t="shared" si="42"/>
        <v>2</v>
      </c>
      <c r="I263" t="s">
        <v>752</v>
      </c>
    </row>
    <row r="264" spans="1:9" x14ac:dyDescent="0.25">
      <c r="A264" s="43">
        <v>262</v>
      </c>
      <c r="B264" t="s">
        <v>769</v>
      </c>
      <c r="C264" s="31">
        <v>8</v>
      </c>
      <c r="D264">
        <v>12</v>
      </c>
      <c r="E264" s="31">
        <f t="shared" si="39"/>
        <v>8</v>
      </c>
      <c r="F264">
        <f t="shared" si="40"/>
        <v>2</v>
      </c>
      <c r="G264">
        <f t="shared" si="41"/>
        <v>3</v>
      </c>
      <c r="H264">
        <f t="shared" si="42"/>
        <v>2</v>
      </c>
      <c r="I264" t="s">
        <v>752</v>
      </c>
    </row>
    <row r="265" spans="1:9" x14ac:dyDescent="0.25">
      <c r="A265" s="43">
        <v>263</v>
      </c>
      <c r="B265" t="s">
        <v>770</v>
      </c>
      <c r="C265" s="31">
        <v>12</v>
      </c>
      <c r="D265">
        <v>14</v>
      </c>
      <c r="E265" s="31">
        <f t="shared" si="39"/>
        <v>12</v>
      </c>
      <c r="F265">
        <f t="shared" si="40"/>
        <v>3</v>
      </c>
      <c r="G265">
        <f t="shared" si="41"/>
        <v>3</v>
      </c>
      <c r="H265">
        <f t="shared" si="42"/>
        <v>3</v>
      </c>
      <c r="I265" t="s">
        <v>752</v>
      </c>
    </row>
    <row r="266" spans="1:9" x14ac:dyDescent="0.25">
      <c r="A266" s="43">
        <v>264</v>
      </c>
      <c r="B266" t="s">
        <v>771</v>
      </c>
      <c r="C266" s="31">
        <v>15</v>
      </c>
      <c r="D266">
        <v>30</v>
      </c>
      <c r="E266" s="31">
        <f t="shared" si="39"/>
        <v>15</v>
      </c>
      <c r="F266">
        <f t="shared" si="40"/>
        <v>3</v>
      </c>
      <c r="G266">
        <f t="shared" si="41"/>
        <v>4</v>
      </c>
      <c r="H266">
        <f t="shared" si="42"/>
        <v>3</v>
      </c>
      <c r="I266" t="s">
        <v>752</v>
      </c>
    </row>
    <row r="267" spans="1:9" x14ac:dyDescent="0.25">
      <c r="A267" s="43">
        <v>265</v>
      </c>
      <c r="B267" t="s">
        <v>772</v>
      </c>
      <c r="C267" s="31">
        <v>15</v>
      </c>
      <c r="D267">
        <v>20</v>
      </c>
      <c r="E267" s="31">
        <f t="shared" si="39"/>
        <v>15</v>
      </c>
      <c r="F267">
        <f t="shared" si="40"/>
        <v>3</v>
      </c>
      <c r="G267">
        <f t="shared" si="41"/>
        <v>3</v>
      </c>
      <c r="H267">
        <f t="shared" si="42"/>
        <v>3</v>
      </c>
      <c r="I267" t="s">
        <v>752</v>
      </c>
    </row>
    <row r="268" spans="1:9" x14ac:dyDescent="0.25">
      <c r="A268" s="43">
        <v>266</v>
      </c>
      <c r="B268" t="s">
        <v>773</v>
      </c>
      <c r="C268" s="31">
        <v>6</v>
      </c>
      <c r="D268">
        <v>12</v>
      </c>
      <c r="E268" s="31">
        <f t="shared" si="39"/>
        <v>6</v>
      </c>
      <c r="F268">
        <f t="shared" si="40"/>
        <v>2</v>
      </c>
      <c r="G268">
        <f t="shared" si="41"/>
        <v>3</v>
      </c>
      <c r="H268">
        <f t="shared" si="42"/>
        <v>2</v>
      </c>
      <c r="I268" t="s">
        <v>752</v>
      </c>
    </row>
    <row r="269" spans="1:9" x14ac:dyDescent="0.25">
      <c r="A269" s="43">
        <v>267</v>
      </c>
      <c r="B269" t="s">
        <v>735</v>
      </c>
      <c r="C269" s="31">
        <v>3</v>
      </c>
      <c r="D269">
        <v>4</v>
      </c>
      <c r="E269" s="31">
        <f t="shared" si="39"/>
        <v>3</v>
      </c>
      <c r="F269">
        <f t="shared" si="40"/>
        <v>1</v>
      </c>
      <c r="G269">
        <f t="shared" si="41"/>
        <v>1</v>
      </c>
      <c r="H269">
        <f t="shared" si="42"/>
        <v>1</v>
      </c>
      <c r="I269" t="s">
        <v>752</v>
      </c>
    </row>
    <row r="270" spans="1:9" x14ac:dyDescent="0.25">
      <c r="A270" s="43">
        <v>268</v>
      </c>
      <c r="B270" t="s">
        <v>774</v>
      </c>
      <c r="C270" s="31">
        <v>3</v>
      </c>
      <c r="D270">
        <v>10</v>
      </c>
      <c r="E270" s="31">
        <f t="shared" si="39"/>
        <v>3</v>
      </c>
      <c r="F270">
        <f t="shared" si="40"/>
        <v>1</v>
      </c>
      <c r="G270">
        <f t="shared" si="41"/>
        <v>2</v>
      </c>
      <c r="H270">
        <f t="shared" si="42"/>
        <v>1</v>
      </c>
      <c r="I270" t="s">
        <v>752</v>
      </c>
    </row>
    <row r="271" spans="1:9" x14ac:dyDescent="0.25">
      <c r="A271" s="43">
        <v>269</v>
      </c>
      <c r="F271" t="str">
        <f t="shared" si="40"/>
        <v/>
      </c>
      <c r="G271" t="str">
        <f t="shared" si="41"/>
        <v/>
      </c>
      <c r="H271" t="str">
        <f t="shared" si="42"/>
        <v/>
      </c>
    </row>
    <row r="272" spans="1:9" x14ac:dyDescent="0.25">
      <c r="A272" s="43">
        <v>270</v>
      </c>
      <c r="B272" s="28" t="s">
        <v>584</v>
      </c>
      <c r="C272" s="31">
        <f>MAX(C246:C270)</f>
        <v>15</v>
      </c>
      <c r="D272" s="31">
        <f t="shared" ref="D272:E272" si="43">MAX(D246:D270)</f>
        <v>30</v>
      </c>
      <c r="E272" s="31">
        <f t="shared" si="43"/>
        <v>15</v>
      </c>
      <c r="F272">
        <f t="shared" si="40"/>
        <v>3</v>
      </c>
      <c r="G272">
        <f t="shared" si="41"/>
        <v>4</v>
      </c>
      <c r="H272">
        <f t="shared" si="42"/>
        <v>3</v>
      </c>
      <c r="I272" t="s">
        <v>752</v>
      </c>
    </row>
    <row r="273" spans="1:10" x14ac:dyDescent="0.25">
      <c r="A273" s="43">
        <v>271</v>
      </c>
      <c r="B273" s="28" t="s">
        <v>585</v>
      </c>
      <c r="C273" s="31">
        <f>MIN(C246:C270)</f>
        <v>3</v>
      </c>
      <c r="D273" s="31">
        <f t="shared" ref="D273:E273" si="44">MIN(D246:D270)</f>
        <v>4</v>
      </c>
      <c r="E273" s="31">
        <f t="shared" si="44"/>
        <v>3</v>
      </c>
      <c r="F273">
        <f t="shared" si="40"/>
        <v>1</v>
      </c>
      <c r="G273">
        <f t="shared" si="41"/>
        <v>1</v>
      </c>
      <c r="H273">
        <f t="shared" si="42"/>
        <v>1</v>
      </c>
      <c r="I273" t="s">
        <v>752</v>
      </c>
    </row>
    <row r="274" spans="1:10" x14ac:dyDescent="0.25">
      <c r="A274" s="43">
        <v>272</v>
      </c>
      <c r="B274" s="28" t="s">
        <v>547</v>
      </c>
      <c r="C274" s="31">
        <f>AVERAGE(C246:C270)</f>
        <v>8.24</v>
      </c>
      <c r="D274" s="31">
        <f t="shared" ref="D274:E274" si="45">AVERAGE(D246:D270)</f>
        <v>11.92</v>
      </c>
      <c r="E274" s="31">
        <f t="shared" si="45"/>
        <v>8.24</v>
      </c>
      <c r="F274">
        <f t="shared" si="40"/>
        <v>2</v>
      </c>
      <c r="G274">
        <f t="shared" si="41"/>
        <v>3</v>
      </c>
      <c r="H274">
        <f t="shared" si="42"/>
        <v>2</v>
      </c>
      <c r="I274" t="s">
        <v>752</v>
      </c>
    </row>
    <row r="275" spans="1:10" x14ac:dyDescent="0.25">
      <c r="A275" s="43">
        <v>273</v>
      </c>
      <c r="F275" t="str">
        <f t="shared" si="40"/>
        <v/>
      </c>
      <c r="G275" t="str">
        <f t="shared" si="41"/>
        <v/>
      </c>
      <c r="H275" t="str">
        <f t="shared" si="42"/>
        <v/>
      </c>
    </row>
    <row r="276" spans="1:10" x14ac:dyDescent="0.25">
      <c r="A276" s="43">
        <v>274</v>
      </c>
      <c r="B276" s="44" t="s">
        <v>775</v>
      </c>
      <c r="C276">
        <v>15</v>
      </c>
      <c r="F276">
        <f t="shared" si="40"/>
        <v>3</v>
      </c>
      <c r="G276" t="str">
        <f t="shared" si="41"/>
        <v/>
      </c>
      <c r="H276" t="str">
        <f t="shared" si="42"/>
        <v/>
      </c>
      <c r="I276" t="s">
        <v>776</v>
      </c>
      <c r="J276" t="s">
        <v>3655</v>
      </c>
    </row>
    <row r="277" spans="1:10" x14ac:dyDescent="0.25">
      <c r="A277" s="43">
        <v>275</v>
      </c>
      <c r="B277" s="44" t="s">
        <v>777</v>
      </c>
      <c r="C277">
        <v>15</v>
      </c>
      <c r="F277">
        <f t="shared" si="40"/>
        <v>3</v>
      </c>
      <c r="G277" t="str">
        <f t="shared" si="41"/>
        <v/>
      </c>
      <c r="H277" t="str">
        <f t="shared" si="42"/>
        <v/>
      </c>
      <c r="I277" t="s">
        <v>776</v>
      </c>
    </row>
    <row r="278" spans="1:10" x14ac:dyDescent="0.25">
      <c r="A278" s="43">
        <v>276</v>
      </c>
      <c r="B278" s="44" t="s">
        <v>778</v>
      </c>
      <c r="C278">
        <v>6</v>
      </c>
      <c r="F278">
        <f t="shared" si="40"/>
        <v>2</v>
      </c>
      <c r="G278" t="str">
        <f t="shared" si="41"/>
        <v/>
      </c>
      <c r="H278" t="str">
        <f t="shared" si="42"/>
        <v/>
      </c>
      <c r="I278" t="s">
        <v>776</v>
      </c>
    </row>
    <row r="279" spans="1:10" x14ac:dyDescent="0.25">
      <c r="A279" s="43">
        <v>277</v>
      </c>
      <c r="B279" s="44" t="s">
        <v>779</v>
      </c>
      <c r="C279">
        <v>6</v>
      </c>
      <c r="F279">
        <f t="shared" si="40"/>
        <v>2</v>
      </c>
      <c r="G279" t="str">
        <f t="shared" si="41"/>
        <v/>
      </c>
      <c r="H279" t="str">
        <f t="shared" si="42"/>
        <v/>
      </c>
      <c r="I279" t="s">
        <v>776</v>
      </c>
    </row>
    <row r="280" spans="1:10" x14ac:dyDescent="0.25">
      <c r="A280" s="43">
        <v>278</v>
      </c>
      <c r="B280" s="44" t="s">
        <v>780</v>
      </c>
      <c r="C280">
        <v>6</v>
      </c>
      <c r="F280">
        <f t="shared" si="40"/>
        <v>2</v>
      </c>
      <c r="G280" t="str">
        <f t="shared" si="41"/>
        <v/>
      </c>
      <c r="H280" t="str">
        <f t="shared" si="42"/>
        <v/>
      </c>
      <c r="I280" t="s">
        <v>776</v>
      </c>
    </row>
    <row r="281" spans="1:10" x14ac:dyDescent="0.25">
      <c r="A281" s="43">
        <v>279</v>
      </c>
      <c r="B281" s="44" t="s">
        <v>781</v>
      </c>
      <c r="C281">
        <v>6</v>
      </c>
      <c r="F281">
        <f t="shared" si="40"/>
        <v>2</v>
      </c>
      <c r="G281" t="str">
        <f t="shared" si="41"/>
        <v/>
      </c>
      <c r="H281" t="str">
        <f t="shared" si="42"/>
        <v/>
      </c>
      <c r="I281" t="s">
        <v>776</v>
      </c>
    </row>
    <row r="282" spans="1:10" x14ac:dyDescent="0.25">
      <c r="A282" s="43">
        <v>280</v>
      </c>
      <c r="B282" s="44" t="s">
        <v>782</v>
      </c>
      <c r="C282">
        <v>15</v>
      </c>
      <c r="F282">
        <f t="shared" si="40"/>
        <v>3</v>
      </c>
      <c r="G282" t="str">
        <f t="shared" si="41"/>
        <v/>
      </c>
      <c r="H282" t="str">
        <f t="shared" si="42"/>
        <v/>
      </c>
      <c r="I282" t="s">
        <v>776</v>
      </c>
    </row>
    <row r="283" spans="1:10" x14ac:dyDescent="0.25">
      <c r="A283" s="43">
        <v>281</v>
      </c>
      <c r="B283" s="44" t="s">
        <v>783</v>
      </c>
      <c r="C283">
        <v>8</v>
      </c>
      <c r="F283">
        <f t="shared" si="40"/>
        <v>2</v>
      </c>
      <c r="G283" t="str">
        <f t="shared" si="41"/>
        <v/>
      </c>
      <c r="H283" t="str">
        <f t="shared" si="42"/>
        <v/>
      </c>
      <c r="I283" t="s">
        <v>776</v>
      </c>
    </row>
    <row r="284" spans="1:10" x14ac:dyDescent="0.25">
      <c r="A284" s="43">
        <v>282</v>
      </c>
      <c r="B284" s="44" t="s">
        <v>784</v>
      </c>
      <c r="C284">
        <v>6</v>
      </c>
      <c r="F284">
        <f t="shared" si="40"/>
        <v>2</v>
      </c>
      <c r="G284" t="str">
        <f t="shared" si="41"/>
        <v/>
      </c>
      <c r="H284" t="str">
        <f t="shared" si="42"/>
        <v/>
      </c>
      <c r="I284" t="s">
        <v>776</v>
      </c>
    </row>
    <row r="285" spans="1:10" x14ac:dyDescent="0.25">
      <c r="A285" s="43">
        <v>283</v>
      </c>
      <c r="B285" s="44" t="s">
        <v>785</v>
      </c>
      <c r="C285">
        <v>12</v>
      </c>
      <c r="F285">
        <f t="shared" si="40"/>
        <v>3</v>
      </c>
      <c r="G285" t="str">
        <f t="shared" si="41"/>
        <v/>
      </c>
      <c r="H285" t="str">
        <f t="shared" si="42"/>
        <v/>
      </c>
      <c r="I285" t="s">
        <v>776</v>
      </c>
    </row>
    <row r="286" spans="1:10" x14ac:dyDescent="0.25">
      <c r="A286" s="43">
        <v>284</v>
      </c>
      <c r="B286" s="44" t="s">
        <v>786</v>
      </c>
      <c r="C286">
        <v>12</v>
      </c>
      <c r="F286">
        <f t="shared" si="40"/>
        <v>3</v>
      </c>
      <c r="G286" t="str">
        <f t="shared" si="41"/>
        <v/>
      </c>
      <c r="H286" t="str">
        <f t="shared" si="42"/>
        <v/>
      </c>
      <c r="I286" t="s">
        <v>776</v>
      </c>
    </row>
    <row r="287" spans="1:10" x14ac:dyDescent="0.25">
      <c r="A287" s="43">
        <v>285</v>
      </c>
      <c r="B287" s="44" t="s">
        <v>787</v>
      </c>
      <c r="C287">
        <v>12</v>
      </c>
      <c r="F287">
        <f t="shared" si="40"/>
        <v>3</v>
      </c>
      <c r="G287" t="str">
        <f t="shared" si="41"/>
        <v/>
      </c>
      <c r="H287" t="str">
        <f t="shared" si="42"/>
        <v/>
      </c>
      <c r="I287" t="s">
        <v>776</v>
      </c>
    </row>
    <row r="288" spans="1:10" x14ac:dyDescent="0.25">
      <c r="A288" s="43">
        <v>286</v>
      </c>
      <c r="B288" s="44" t="s">
        <v>788</v>
      </c>
      <c r="C288">
        <v>12</v>
      </c>
      <c r="F288">
        <f t="shared" si="40"/>
        <v>3</v>
      </c>
      <c r="G288" t="str">
        <f t="shared" si="41"/>
        <v/>
      </c>
      <c r="H288" t="str">
        <f t="shared" si="42"/>
        <v/>
      </c>
      <c r="I288" t="s">
        <v>776</v>
      </c>
    </row>
    <row r="289" spans="1:9" x14ac:dyDescent="0.25">
      <c r="A289" s="43">
        <v>287</v>
      </c>
      <c r="B289" s="44" t="s">
        <v>789</v>
      </c>
      <c r="C289">
        <v>15</v>
      </c>
      <c r="F289">
        <f t="shared" si="40"/>
        <v>3</v>
      </c>
      <c r="G289" t="str">
        <f t="shared" si="41"/>
        <v/>
      </c>
      <c r="H289" t="str">
        <f t="shared" si="42"/>
        <v/>
      </c>
      <c r="I289" t="s">
        <v>776</v>
      </c>
    </row>
    <row r="290" spans="1:9" x14ac:dyDescent="0.25">
      <c r="A290" s="43">
        <v>288</v>
      </c>
      <c r="B290" s="44" t="s">
        <v>790</v>
      </c>
      <c r="C290">
        <v>6</v>
      </c>
      <c r="F290">
        <f t="shared" si="40"/>
        <v>2</v>
      </c>
      <c r="G290" t="str">
        <f t="shared" si="41"/>
        <v/>
      </c>
      <c r="H290" t="str">
        <f t="shared" si="42"/>
        <v/>
      </c>
      <c r="I290" t="s">
        <v>776</v>
      </c>
    </row>
    <row r="291" spans="1:9" x14ac:dyDescent="0.25">
      <c r="A291" s="43">
        <v>289</v>
      </c>
      <c r="B291" s="44" t="s">
        <v>791</v>
      </c>
      <c r="C291">
        <v>10</v>
      </c>
      <c r="F291">
        <f t="shared" si="40"/>
        <v>2</v>
      </c>
      <c r="G291" t="str">
        <f t="shared" si="41"/>
        <v/>
      </c>
      <c r="H291" t="str">
        <f t="shared" si="42"/>
        <v/>
      </c>
      <c r="I291" t="s">
        <v>776</v>
      </c>
    </row>
    <row r="292" spans="1:9" x14ac:dyDescent="0.25">
      <c r="A292" s="43">
        <v>290</v>
      </c>
      <c r="B292" s="44" t="s">
        <v>792</v>
      </c>
      <c r="C292">
        <v>6</v>
      </c>
      <c r="F292">
        <f t="shared" si="40"/>
        <v>2</v>
      </c>
      <c r="G292" t="str">
        <f t="shared" si="41"/>
        <v/>
      </c>
      <c r="H292" t="str">
        <f t="shared" si="42"/>
        <v/>
      </c>
      <c r="I292" t="s">
        <v>776</v>
      </c>
    </row>
    <row r="293" spans="1:9" x14ac:dyDescent="0.25">
      <c r="A293" s="43">
        <v>291</v>
      </c>
      <c r="B293" s="44" t="s">
        <v>793</v>
      </c>
      <c r="C293">
        <v>12</v>
      </c>
      <c r="F293">
        <f t="shared" si="40"/>
        <v>3</v>
      </c>
      <c r="G293" t="str">
        <f t="shared" si="41"/>
        <v/>
      </c>
      <c r="H293" t="str">
        <f t="shared" si="42"/>
        <v/>
      </c>
      <c r="I293" t="s">
        <v>776</v>
      </c>
    </row>
    <row r="294" spans="1:9" x14ac:dyDescent="0.25">
      <c r="A294" s="43">
        <v>292</v>
      </c>
      <c r="B294" s="44" t="s">
        <v>794</v>
      </c>
      <c r="C294">
        <v>12</v>
      </c>
      <c r="F294">
        <f t="shared" si="40"/>
        <v>3</v>
      </c>
      <c r="G294" t="str">
        <f t="shared" si="41"/>
        <v/>
      </c>
      <c r="H294" t="str">
        <f t="shared" si="42"/>
        <v/>
      </c>
      <c r="I294" t="s">
        <v>776</v>
      </c>
    </row>
    <row r="295" spans="1:9" x14ac:dyDescent="0.25">
      <c r="A295" s="43">
        <v>293</v>
      </c>
      <c r="B295" s="44" t="s">
        <v>795</v>
      </c>
      <c r="C295">
        <v>10</v>
      </c>
      <c r="F295">
        <f t="shared" si="40"/>
        <v>2</v>
      </c>
      <c r="G295" t="str">
        <f t="shared" si="41"/>
        <v/>
      </c>
      <c r="H295" t="str">
        <f t="shared" si="42"/>
        <v/>
      </c>
      <c r="I295" t="s">
        <v>776</v>
      </c>
    </row>
    <row r="296" spans="1:9" x14ac:dyDescent="0.25">
      <c r="A296" s="43">
        <v>294</v>
      </c>
      <c r="B296" s="44" t="s">
        <v>796</v>
      </c>
      <c r="C296">
        <v>6</v>
      </c>
      <c r="F296">
        <f t="shared" si="40"/>
        <v>2</v>
      </c>
      <c r="G296" t="str">
        <f t="shared" si="41"/>
        <v/>
      </c>
      <c r="H296" t="str">
        <f t="shared" si="42"/>
        <v/>
      </c>
      <c r="I296" t="s">
        <v>776</v>
      </c>
    </row>
    <row r="297" spans="1:9" x14ac:dyDescent="0.25">
      <c r="A297" s="43">
        <v>295</v>
      </c>
      <c r="B297" s="44" t="s">
        <v>797</v>
      </c>
      <c r="C297">
        <v>6</v>
      </c>
      <c r="F297">
        <f t="shared" si="40"/>
        <v>2</v>
      </c>
      <c r="G297" t="str">
        <f t="shared" si="41"/>
        <v/>
      </c>
      <c r="H297" t="str">
        <f t="shared" si="42"/>
        <v/>
      </c>
      <c r="I297" t="s">
        <v>776</v>
      </c>
    </row>
    <row r="298" spans="1:9" x14ac:dyDescent="0.25">
      <c r="A298" s="43">
        <v>296</v>
      </c>
      <c r="B298" s="44" t="s">
        <v>798</v>
      </c>
      <c r="C298">
        <v>2</v>
      </c>
      <c r="F298">
        <f t="shared" si="40"/>
        <v>1</v>
      </c>
      <c r="G298" t="str">
        <f t="shared" si="41"/>
        <v/>
      </c>
      <c r="H298" t="str">
        <f t="shared" si="42"/>
        <v/>
      </c>
      <c r="I298" t="s">
        <v>776</v>
      </c>
    </row>
    <row r="299" spans="1:9" x14ac:dyDescent="0.25">
      <c r="A299" s="43">
        <v>297</v>
      </c>
      <c r="B299" s="44" t="s">
        <v>799</v>
      </c>
      <c r="C299">
        <v>15</v>
      </c>
      <c r="F299">
        <f t="shared" si="40"/>
        <v>3</v>
      </c>
      <c r="G299" t="str">
        <f t="shared" si="41"/>
        <v/>
      </c>
      <c r="H299" t="str">
        <f t="shared" si="42"/>
        <v/>
      </c>
      <c r="I299" t="s">
        <v>776</v>
      </c>
    </row>
    <row r="300" spans="1:9" x14ac:dyDescent="0.25">
      <c r="A300" s="43">
        <v>298</v>
      </c>
      <c r="B300" s="44" t="s">
        <v>800</v>
      </c>
      <c r="C300">
        <v>6</v>
      </c>
      <c r="F300">
        <f t="shared" si="40"/>
        <v>2</v>
      </c>
      <c r="G300" t="str">
        <f t="shared" si="41"/>
        <v/>
      </c>
      <c r="H300" t="str">
        <f t="shared" si="42"/>
        <v/>
      </c>
      <c r="I300" t="s">
        <v>776</v>
      </c>
    </row>
    <row r="301" spans="1:9" x14ac:dyDescent="0.25">
      <c r="A301" s="43">
        <v>299</v>
      </c>
      <c r="B301" s="44" t="s">
        <v>801</v>
      </c>
      <c r="C301">
        <v>10</v>
      </c>
      <c r="F301">
        <f t="shared" si="40"/>
        <v>2</v>
      </c>
      <c r="G301" t="str">
        <f t="shared" si="41"/>
        <v/>
      </c>
      <c r="H301" t="str">
        <f t="shared" si="42"/>
        <v/>
      </c>
      <c r="I301" t="s">
        <v>776</v>
      </c>
    </row>
    <row r="302" spans="1:9" x14ac:dyDescent="0.25">
      <c r="A302" s="43">
        <v>300</v>
      </c>
      <c r="B302" s="44" t="s">
        <v>802</v>
      </c>
      <c r="C302">
        <v>6</v>
      </c>
      <c r="F302">
        <f t="shared" si="40"/>
        <v>2</v>
      </c>
      <c r="G302" t="str">
        <f t="shared" si="41"/>
        <v/>
      </c>
      <c r="H302" t="str">
        <f t="shared" si="42"/>
        <v/>
      </c>
      <c r="I302" t="s">
        <v>776</v>
      </c>
    </row>
    <row r="303" spans="1:9" x14ac:dyDescent="0.25">
      <c r="A303" s="43">
        <v>301</v>
      </c>
      <c r="B303" s="44" t="s">
        <v>803</v>
      </c>
      <c r="C303">
        <v>6</v>
      </c>
      <c r="F303">
        <f t="shared" si="40"/>
        <v>2</v>
      </c>
      <c r="G303" t="str">
        <f t="shared" si="41"/>
        <v/>
      </c>
      <c r="H303" t="str">
        <f t="shared" si="42"/>
        <v/>
      </c>
      <c r="I303" t="s">
        <v>776</v>
      </c>
    </row>
    <row r="304" spans="1:9" x14ac:dyDescent="0.25">
      <c r="A304" s="43">
        <v>302</v>
      </c>
      <c r="B304" s="44" t="s">
        <v>804</v>
      </c>
      <c r="C304">
        <v>6</v>
      </c>
      <c r="F304">
        <f t="shared" si="40"/>
        <v>2</v>
      </c>
      <c r="G304" t="str">
        <f t="shared" si="41"/>
        <v/>
      </c>
      <c r="H304" t="str">
        <f t="shared" si="42"/>
        <v/>
      </c>
      <c r="I304" t="s">
        <v>776</v>
      </c>
    </row>
    <row r="305" spans="1:9" x14ac:dyDescent="0.25">
      <c r="A305" s="43">
        <v>303</v>
      </c>
      <c r="B305" s="44" t="s">
        <v>805</v>
      </c>
      <c r="C305">
        <v>10</v>
      </c>
      <c r="F305">
        <f t="shared" si="40"/>
        <v>2</v>
      </c>
      <c r="G305" t="str">
        <f t="shared" si="41"/>
        <v/>
      </c>
      <c r="H305" t="str">
        <f t="shared" si="42"/>
        <v/>
      </c>
      <c r="I305" t="s">
        <v>776</v>
      </c>
    </row>
    <row r="306" spans="1:9" x14ac:dyDescent="0.25">
      <c r="A306" s="43">
        <v>304</v>
      </c>
      <c r="B306" s="44" t="s">
        <v>806</v>
      </c>
      <c r="C306">
        <v>6</v>
      </c>
      <c r="F306">
        <f t="shared" si="40"/>
        <v>2</v>
      </c>
      <c r="G306" t="str">
        <f t="shared" si="41"/>
        <v/>
      </c>
      <c r="H306" t="str">
        <f t="shared" si="42"/>
        <v/>
      </c>
      <c r="I306" t="s">
        <v>776</v>
      </c>
    </row>
    <row r="307" spans="1:9" x14ac:dyDescent="0.25">
      <c r="A307" s="43">
        <v>305</v>
      </c>
      <c r="B307" s="44" t="s">
        <v>807</v>
      </c>
      <c r="C307">
        <v>6</v>
      </c>
      <c r="F307">
        <f t="shared" si="40"/>
        <v>2</v>
      </c>
      <c r="G307" t="str">
        <f t="shared" si="41"/>
        <v/>
      </c>
      <c r="H307" t="str">
        <f t="shared" si="42"/>
        <v/>
      </c>
      <c r="I307" t="s">
        <v>776</v>
      </c>
    </row>
    <row r="308" spans="1:9" x14ac:dyDescent="0.25">
      <c r="A308" s="43">
        <v>306</v>
      </c>
      <c r="B308" s="44" t="s">
        <v>808</v>
      </c>
      <c r="C308">
        <v>6</v>
      </c>
      <c r="F308">
        <f t="shared" si="40"/>
        <v>2</v>
      </c>
      <c r="G308" t="str">
        <f t="shared" si="41"/>
        <v/>
      </c>
      <c r="H308" t="str">
        <f t="shared" si="42"/>
        <v/>
      </c>
      <c r="I308" t="s">
        <v>776</v>
      </c>
    </row>
    <row r="309" spans="1:9" x14ac:dyDescent="0.25">
      <c r="A309" s="43">
        <v>307</v>
      </c>
      <c r="B309" s="44" t="s">
        <v>809</v>
      </c>
      <c r="C309">
        <v>6</v>
      </c>
      <c r="F309">
        <f t="shared" si="40"/>
        <v>2</v>
      </c>
      <c r="G309" t="str">
        <f t="shared" si="41"/>
        <v/>
      </c>
      <c r="H309" t="str">
        <f t="shared" si="42"/>
        <v/>
      </c>
      <c r="I309" t="s">
        <v>776</v>
      </c>
    </row>
    <row r="310" spans="1:9" x14ac:dyDescent="0.25">
      <c r="A310" s="43">
        <v>308</v>
      </c>
      <c r="B310" s="44" t="s">
        <v>810</v>
      </c>
      <c r="C310">
        <v>6</v>
      </c>
      <c r="F310">
        <f t="shared" si="40"/>
        <v>2</v>
      </c>
      <c r="G310" t="str">
        <f t="shared" si="41"/>
        <v/>
      </c>
      <c r="H310" t="str">
        <f t="shared" si="42"/>
        <v/>
      </c>
      <c r="I310" t="s">
        <v>776</v>
      </c>
    </row>
    <row r="311" spans="1:9" x14ac:dyDescent="0.25">
      <c r="A311" s="43">
        <v>309</v>
      </c>
      <c r="B311" s="44" t="s">
        <v>811</v>
      </c>
      <c r="C311">
        <v>10</v>
      </c>
      <c r="F311">
        <f t="shared" si="40"/>
        <v>2</v>
      </c>
      <c r="G311" t="str">
        <f t="shared" si="41"/>
        <v/>
      </c>
      <c r="H311" t="str">
        <f t="shared" si="42"/>
        <v/>
      </c>
      <c r="I311" t="s">
        <v>776</v>
      </c>
    </row>
    <row r="312" spans="1:9" x14ac:dyDescent="0.25">
      <c r="A312" s="43">
        <v>310</v>
      </c>
      <c r="B312" s="44" t="s">
        <v>812</v>
      </c>
      <c r="C312">
        <v>12</v>
      </c>
      <c r="F312">
        <f t="shared" si="40"/>
        <v>3</v>
      </c>
      <c r="G312" t="str">
        <f t="shared" si="41"/>
        <v/>
      </c>
      <c r="H312" t="str">
        <f t="shared" si="42"/>
        <v/>
      </c>
      <c r="I312" t="s">
        <v>776</v>
      </c>
    </row>
    <row r="313" spans="1:9" x14ac:dyDescent="0.25">
      <c r="A313" s="43">
        <v>311</v>
      </c>
      <c r="B313" s="44" t="s">
        <v>813</v>
      </c>
      <c r="C313">
        <v>10</v>
      </c>
      <c r="F313">
        <f t="shared" si="40"/>
        <v>2</v>
      </c>
      <c r="G313" t="str">
        <f t="shared" si="41"/>
        <v/>
      </c>
      <c r="H313" t="str">
        <f t="shared" si="42"/>
        <v/>
      </c>
      <c r="I313" t="s">
        <v>776</v>
      </c>
    </row>
    <row r="314" spans="1:9" x14ac:dyDescent="0.25">
      <c r="A314" s="43">
        <v>312</v>
      </c>
      <c r="B314" s="44" t="s">
        <v>814</v>
      </c>
      <c r="C314">
        <v>4</v>
      </c>
      <c r="F314">
        <f t="shared" si="40"/>
        <v>1</v>
      </c>
      <c r="G314" t="str">
        <f t="shared" si="41"/>
        <v/>
      </c>
      <c r="H314" t="str">
        <f t="shared" si="42"/>
        <v/>
      </c>
      <c r="I314" t="s">
        <v>776</v>
      </c>
    </row>
    <row r="315" spans="1:9" x14ac:dyDescent="0.25">
      <c r="A315" s="43">
        <v>313</v>
      </c>
      <c r="B315" s="44" t="s">
        <v>815</v>
      </c>
      <c r="C315">
        <v>6</v>
      </c>
      <c r="F315">
        <f t="shared" si="40"/>
        <v>2</v>
      </c>
      <c r="G315" t="str">
        <f t="shared" si="41"/>
        <v/>
      </c>
      <c r="H315" t="str">
        <f t="shared" si="42"/>
        <v/>
      </c>
      <c r="I315" t="s">
        <v>776</v>
      </c>
    </row>
    <row r="316" spans="1:9" x14ac:dyDescent="0.25">
      <c r="A316" s="43">
        <v>314</v>
      </c>
      <c r="B316" s="44" t="s">
        <v>816</v>
      </c>
      <c r="C316">
        <v>4</v>
      </c>
      <c r="F316">
        <f t="shared" si="40"/>
        <v>1</v>
      </c>
      <c r="G316" t="str">
        <f t="shared" si="41"/>
        <v/>
      </c>
      <c r="H316" t="str">
        <f t="shared" si="42"/>
        <v/>
      </c>
      <c r="I316" t="s">
        <v>776</v>
      </c>
    </row>
    <row r="317" spans="1:9" x14ac:dyDescent="0.25">
      <c r="A317" s="43">
        <v>315</v>
      </c>
      <c r="B317" s="44" t="s">
        <v>781</v>
      </c>
      <c r="C317">
        <v>6</v>
      </c>
      <c r="F317">
        <f t="shared" si="40"/>
        <v>2</v>
      </c>
      <c r="G317" t="str">
        <f t="shared" si="41"/>
        <v/>
      </c>
      <c r="H317" t="str">
        <f t="shared" si="42"/>
        <v/>
      </c>
      <c r="I317" t="s">
        <v>776</v>
      </c>
    </row>
    <row r="318" spans="1:9" x14ac:dyDescent="0.25">
      <c r="A318" s="43">
        <v>316</v>
      </c>
      <c r="B318" s="44" t="s">
        <v>817</v>
      </c>
      <c r="C318">
        <v>6</v>
      </c>
      <c r="F318">
        <f t="shared" si="40"/>
        <v>2</v>
      </c>
      <c r="G318" t="str">
        <f t="shared" si="41"/>
        <v/>
      </c>
      <c r="H318" t="str">
        <f t="shared" si="42"/>
        <v/>
      </c>
      <c r="I318" t="s">
        <v>776</v>
      </c>
    </row>
    <row r="319" spans="1:9" x14ac:dyDescent="0.25">
      <c r="A319" s="43">
        <v>317</v>
      </c>
      <c r="B319" s="44" t="s">
        <v>818</v>
      </c>
      <c r="C319">
        <v>10</v>
      </c>
      <c r="F319">
        <f t="shared" si="40"/>
        <v>2</v>
      </c>
      <c r="G319" t="str">
        <f t="shared" si="41"/>
        <v/>
      </c>
      <c r="H319" t="str">
        <f t="shared" si="42"/>
        <v/>
      </c>
      <c r="I319" t="s">
        <v>776</v>
      </c>
    </row>
    <row r="320" spans="1:9" x14ac:dyDescent="0.25">
      <c r="A320" s="43">
        <v>318</v>
      </c>
      <c r="B320" s="44" t="s">
        <v>819</v>
      </c>
      <c r="C320">
        <v>4</v>
      </c>
      <c r="F320">
        <f t="shared" si="40"/>
        <v>1</v>
      </c>
      <c r="G320" t="str">
        <f t="shared" si="41"/>
        <v/>
      </c>
      <c r="H320" t="str">
        <f t="shared" si="42"/>
        <v/>
      </c>
      <c r="I320" t="s">
        <v>776</v>
      </c>
    </row>
    <row r="321" spans="1:9" x14ac:dyDescent="0.25">
      <c r="A321" s="43">
        <v>319</v>
      </c>
      <c r="B321" s="44" t="s">
        <v>820</v>
      </c>
      <c r="C321">
        <v>10</v>
      </c>
      <c r="F321">
        <f t="shared" si="40"/>
        <v>2</v>
      </c>
      <c r="G321" t="str">
        <f t="shared" si="41"/>
        <v/>
      </c>
      <c r="H321" t="str">
        <f t="shared" si="42"/>
        <v/>
      </c>
      <c r="I321" t="s">
        <v>776</v>
      </c>
    </row>
    <row r="322" spans="1:9" x14ac:dyDescent="0.25">
      <c r="A322" s="43">
        <v>320</v>
      </c>
      <c r="B322" s="44" t="s">
        <v>821</v>
      </c>
      <c r="C322">
        <v>10</v>
      </c>
      <c r="F322">
        <f t="shared" si="40"/>
        <v>2</v>
      </c>
      <c r="G322" t="str">
        <f t="shared" si="41"/>
        <v/>
      </c>
      <c r="H322" t="str">
        <f t="shared" si="42"/>
        <v/>
      </c>
      <c r="I322" t="s">
        <v>776</v>
      </c>
    </row>
    <row r="323" spans="1:9" x14ac:dyDescent="0.25">
      <c r="A323" s="43">
        <v>321</v>
      </c>
      <c r="B323" s="44" t="s">
        <v>822</v>
      </c>
      <c r="C323">
        <v>6</v>
      </c>
      <c r="F323">
        <f t="shared" si="40"/>
        <v>2</v>
      </c>
      <c r="G323" t="str">
        <f t="shared" si="41"/>
        <v/>
      </c>
      <c r="H323" t="str">
        <f t="shared" si="42"/>
        <v/>
      </c>
      <c r="I323" t="s">
        <v>776</v>
      </c>
    </row>
    <row r="324" spans="1:9" x14ac:dyDescent="0.25">
      <c r="A324" s="43">
        <v>322</v>
      </c>
      <c r="B324" s="44" t="s">
        <v>823</v>
      </c>
      <c r="C324">
        <v>4</v>
      </c>
      <c r="F324">
        <f t="shared" si="40"/>
        <v>1</v>
      </c>
      <c r="G324" t="str">
        <f t="shared" si="41"/>
        <v/>
      </c>
      <c r="H324" t="str">
        <f t="shared" si="42"/>
        <v/>
      </c>
      <c r="I324" t="s">
        <v>776</v>
      </c>
    </row>
    <row r="325" spans="1:9" x14ac:dyDescent="0.25">
      <c r="A325" s="43">
        <v>323</v>
      </c>
      <c r="B325" s="44" t="s">
        <v>824</v>
      </c>
      <c r="C325">
        <v>4</v>
      </c>
      <c r="F325">
        <f t="shared" si="40"/>
        <v>1</v>
      </c>
      <c r="G325" t="str">
        <f t="shared" si="41"/>
        <v/>
      </c>
      <c r="H325" t="str">
        <f t="shared" si="42"/>
        <v/>
      </c>
      <c r="I325" t="s">
        <v>776</v>
      </c>
    </row>
    <row r="326" spans="1:9" x14ac:dyDescent="0.25">
      <c r="A326" s="43">
        <v>324</v>
      </c>
      <c r="B326" s="44" t="s">
        <v>825</v>
      </c>
      <c r="C326">
        <v>10</v>
      </c>
      <c r="F326">
        <f t="shared" ref="F326:F339" si="46">IF(COUNT(C326)=1, IF(C326&gt;120,6,IF(C326&gt;50,5,IF(C326&gt;24,4,IF(C326&gt;10,3,IF(C326&gt;4,2,IF(C326&gt;1,1,0)))))), "")</f>
        <v>2</v>
      </c>
      <c r="G326" t="str">
        <f t="shared" ref="G326:G339" si="47">IF(COUNT(D326)=1, IF(D326&gt;120,6,IF(D326&gt;50,5,IF(D326&gt;24,4,IF(D326&gt;10,3,IF(D326&gt;4,2,IF(D326&gt;1,1,0)))))), "")</f>
        <v/>
      </c>
      <c r="H326" t="str">
        <f t="shared" ref="H326:H339" si="48">IF(COUNT(E326)=1, IF(E326&gt;120,6,IF(E326&gt;50,5,IF(E326&gt;24,4,IF(E326&gt;10,3,IF(E326&gt;4,2,IF(E326&gt;1,1,0)))))), "")</f>
        <v/>
      </c>
      <c r="I326" t="s">
        <v>776</v>
      </c>
    </row>
    <row r="327" spans="1:9" x14ac:dyDescent="0.25">
      <c r="A327" s="43">
        <v>325</v>
      </c>
      <c r="B327" s="44" t="s">
        <v>826</v>
      </c>
      <c r="C327">
        <v>10</v>
      </c>
      <c r="F327">
        <f t="shared" si="46"/>
        <v>2</v>
      </c>
      <c r="G327" t="str">
        <f t="shared" si="47"/>
        <v/>
      </c>
      <c r="H327" t="str">
        <f t="shared" si="48"/>
        <v/>
      </c>
      <c r="I327" t="s">
        <v>776</v>
      </c>
    </row>
    <row r="328" spans="1:9" x14ac:dyDescent="0.25">
      <c r="A328" s="43">
        <v>326</v>
      </c>
      <c r="B328" s="44" t="s">
        <v>827</v>
      </c>
      <c r="C328">
        <v>2</v>
      </c>
      <c r="F328">
        <f t="shared" si="46"/>
        <v>1</v>
      </c>
      <c r="G328" t="str">
        <f t="shared" si="47"/>
        <v/>
      </c>
      <c r="H328" t="str">
        <f t="shared" si="48"/>
        <v/>
      </c>
      <c r="I328" t="s">
        <v>776</v>
      </c>
    </row>
    <row r="329" spans="1:9" x14ac:dyDescent="0.25">
      <c r="A329" s="43">
        <v>327</v>
      </c>
      <c r="B329" s="44" t="s">
        <v>828</v>
      </c>
      <c r="C329">
        <v>10</v>
      </c>
      <c r="F329">
        <f t="shared" si="46"/>
        <v>2</v>
      </c>
      <c r="G329" t="str">
        <f t="shared" si="47"/>
        <v/>
      </c>
      <c r="H329" t="str">
        <f t="shared" si="48"/>
        <v/>
      </c>
      <c r="I329" t="s">
        <v>776</v>
      </c>
    </row>
    <row r="330" spans="1:9" x14ac:dyDescent="0.25">
      <c r="A330" s="43">
        <v>328</v>
      </c>
      <c r="B330" s="44" t="s">
        <v>829</v>
      </c>
      <c r="C330">
        <v>10</v>
      </c>
      <c r="F330">
        <f t="shared" si="46"/>
        <v>2</v>
      </c>
      <c r="G330" t="str">
        <f t="shared" si="47"/>
        <v/>
      </c>
      <c r="H330" t="str">
        <f t="shared" si="48"/>
        <v/>
      </c>
      <c r="I330" t="s">
        <v>776</v>
      </c>
    </row>
    <row r="331" spans="1:9" x14ac:dyDescent="0.25">
      <c r="A331" s="43">
        <v>329</v>
      </c>
      <c r="B331" s="44" t="s">
        <v>830</v>
      </c>
      <c r="C331">
        <v>2</v>
      </c>
      <c r="F331">
        <f t="shared" si="46"/>
        <v>1</v>
      </c>
      <c r="G331" t="str">
        <f t="shared" si="47"/>
        <v/>
      </c>
      <c r="H331" t="str">
        <f t="shared" si="48"/>
        <v/>
      </c>
      <c r="I331" t="s">
        <v>776</v>
      </c>
    </row>
    <row r="332" spans="1:9" x14ac:dyDescent="0.25">
      <c r="A332" s="43">
        <v>330</v>
      </c>
      <c r="B332" s="44" t="s">
        <v>831</v>
      </c>
      <c r="C332">
        <v>10</v>
      </c>
      <c r="F332">
        <f t="shared" si="46"/>
        <v>2</v>
      </c>
      <c r="G332" t="str">
        <f t="shared" si="47"/>
        <v/>
      </c>
      <c r="H332" t="str">
        <f t="shared" si="48"/>
        <v/>
      </c>
      <c r="I332" t="s">
        <v>776</v>
      </c>
    </row>
    <row r="333" spans="1:9" x14ac:dyDescent="0.25">
      <c r="A333" s="43">
        <v>331</v>
      </c>
      <c r="B333" s="44" t="s">
        <v>832</v>
      </c>
      <c r="C333">
        <v>10</v>
      </c>
      <c r="F333">
        <f t="shared" si="46"/>
        <v>2</v>
      </c>
      <c r="G333" t="str">
        <f t="shared" si="47"/>
        <v/>
      </c>
      <c r="H333" t="str">
        <f t="shared" si="48"/>
        <v/>
      </c>
      <c r="I333" t="s">
        <v>776</v>
      </c>
    </row>
    <row r="334" spans="1:9" x14ac:dyDescent="0.25">
      <c r="A334" s="43">
        <v>332</v>
      </c>
      <c r="B334" s="44" t="s">
        <v>833</v>
      </c>
      <c r="C334">
        <v>10</v>
      </c>
      <c r="F334">
        <f t="shared" si="46"/>
        <v>2</v>
      </c>
      <c r="G334" t="str">
        <f t="shared" si="47"/>
        <v/>
      </c>
      <c r="H334" t="str">
        <f t="shared" si="48"/>
        <v/>
      </c>
      <c r="I334" t="s">
        <v>776</v>
      </c>
    </row>
    <row r="335" spans="1:9" x14ac:dyDescent="0.25">
      <c r="A335" s="43">
        <v>333</v>
      </c>
      <c r="B335" s="44" t="s">
        <v>834</v>
      </c>
      <c r="C335">
        <v>10</v>
      </c>
      <c r="F335">
        <f t="shared" si="46"/>
        <v>2</v>
      </c>
      <c r="G335" t="str">
        <f t="shared" si="47"/>
        <v/>
      </c>
      <c r="H335" t="str">
        <f t="shared" si="48"/>
        <v/>
      </c>
      <c r="I335" t="s">
        <v>776</v>
      </c>
    </row>
    <row r="336" spans="1:9" x14ac:dyDescent="0.25">
      <c r="A336" s="43">
        <v>334</v>
      </c>
      <c r="F336" t="str">
        <f t="shared" si="46"/>
        <v/>
      </c>
      <c r="G336" t="str">
        <f t="shared" si="47"/>
        <v/>
      </c>
      <c r="H336" t="str">
        <f t="shared" si="48"/>
        <v/>
      </c>
    </row>
    <row r="337" spans="1:11" x14ac:dyDescent="0.25">
      <c r="A337" s="43">
        <v>335</v>
      </c>
      <c r="B337" s="28" t="s">
        <v>584</v>
      </c>
      <c r="C337" s="31">
        <f>MAX(C276:C335)</f>
        <v>15</v>
      </c>
      <c r="D337" s="31"/>
      <c r="E337" s="31"/>
      <c r="F337">
        <f t="shared" si="46"/>
        <v>3</v>
      </c>
      <c r="G337" t="str">
        <f t="shared" si="47"/>
        <v/>
      </c>
      <c r="H337" t="str">
        <f t="shared" si="48"/>
        <v/>
      </c>
      <c r="I337" t="s">
        <v>776</v>
      </c>
    </row>
    <row r="338" spans="1:11" x14ac:dyDescent="0.25">
      <c r="A338" s="43">
        <v>336</v>
      </c>
      <c r="B338" s="28" t="s">
        <v>585</v>
      </c>
      <c r="C338" s="31">
        <f>MIN(C276:C335)</f>
        <v>2</v>
      </c>
      <c r="D338" s="31"/>
      <c r="E338" s="31"/>
      <c r="F338">
        <f t="shared" si="46"/>
        <v>1</v>
      </c>
      <c r="G338" t="str">
        <f t="shared" si="47"/>
        <v/>
      </c>
      <c r="H338" t="str">
        <f t="shared" si="48"/>
        <v/>
      </c>
      <c r="I338" t="s">
        <v>776</v>
      </c>
    </row>
    <row r="339" spans="1:11" x14ac:dyDescent="0.25">
      <c r="A339" s="43">
        <v>337</v>
      </c>
      <c r="B339" s="28" t="s">
        <v>547</v>
      </c>
      <c r="C339" s="31">
        <f>AVERAGE(C276:C335)</f>
        <v>8.25</v>
      </c>
      <c r="D339" s="31"/>
      <c r="E339" s="31"/>
      <c r="F339">
        <f t="shared" si="46"/>
        <v>2</v>
      </c>
      <c r="G339" t="str">
        <f t="shared" si="47"/>
        <v/>
      </c>
      <c r="H339" t="str">
        <f t="shared" si="48"/>
        <v/>
      </c>
      <c r="I339" t="s">
        <v>776</v>
      </c>
    </row>
    <row r="340" spans="1:11" x14ac:dyDescent="0.25">
      <c r="A340" s="43">
        <v>338</v>
      </c>
    </row>
    <row r="341" spans="1:11" x14ac:dyDescent="0.25">
      <c r="A341" s="43">
        <v>339</v>
      </c>
    </row>
    <row r="342" spans="1:11" x14ac:dyDescent="0.25">
      <c r="A342" s="43">
        <v>340</v>
      </c>
      <c r="C342" t="s">
        <v>2457</v>
      </c>
      <c r="D342" t="s">
        <v>2457</v>
      </c>
      <c r="E342" t="s">
        <v>1422</v>
      </c>
      <c r="H342" t="s">
        <v>2459</v>
      </c>
      <c r="I342" t="s">
        <v>861</v>
      </c>
      <c r="K342" t="s">
        <v>3411</v>
      </c>
    </row>
    <row r="343" spans="1:11" x14ac:dyDescent="0.25">
      <c r="A343" s="43">
        <v>341</v>
      </c>
      <c r="B343" t="s">
        <v>2458</v>
      </c>
      <c r="C343">
        <v>15</v>
      </c>
      <c r="D343">
        <f>C343*60</f>
        <v>900</v>
      </c>
      <c r="E343">
        <f>30*30*10</f>
        <v>9000</v>
      </c>
      <c r="H343">
        <v>15</v>
      </c>
      <c r="I343">
        <f>D343*H343/E343</f>
        <v>1.5</v>
      </c>
      <c r="K343">
        <f>IF(I343&gt;120,6,IF(I343&gt;50,5,IF(I343&gt;24,4,IF(I343&gt;10,3,IF(I343&gt;4,2,IF(I343&gt;1,1,0))))))</f>
        <v>1</v>
      </c>
    </row>
    <row r="344" spans="1:11" x14ac:dyDescent="0.25">
      <c r="A344" s="43">
        <v>342</v>
      </c>
    </row>
    <row r="345" spans="1:11" x14ac:dyDescent="0.25">
      <c r="A345" s="43">
        <v>343</v>
      </c>
    </row>
    <row r="346" spans="1:11" x14ac:dyDescent="0.25">
      <c r="A346" s="43">
        <v>344</v>
      </c>
    </row>
    <row r="347" spans="1:11" x14ac:dyDescent="0.25">
      <c r="A347" s="43">
        <v>345</v>
      </c>
    </row>
  </sheetData>
  <autoFilter ref="A4:Q347" xr:uid="{CC6A8748-C7AF-47FC-A636-6187B15788F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788F3-AF59-4FCA-A83F-445067833C8B}">
  <dimension ref="A2:J37"/>
  <sheetViews>
    <sheetView workbookViewId="0">
      <selection activeCell="B32" sqref="B32"/>
    </sheetView>
  </sheetViews>
  <sheetFormatPr defaultRowHeight="15" x14ac:dyDescent="0.25"/>
  <cols>
    <col min="1" max="1" width="41.5703125" bestFit="1" customWidth="1"/>
    <col min="2" max="2" width="9" bestFit="1" customWidth="1"/>
    <col min="3" max="3" width="10" bestFit="1" customWidth="1"/>
  </cols>
  <sheetData>
    <row r="2" spans="1:7" s="28" customFormat="1" x14ac:dyDescent="0.25">
      <c r="A2" s="32"/>
      <c r="B2" s="32" t="s">
        <v>440</v>
      </c>
      <c r="C2" s="32" t="s">
        <v>441</v>
      </c>
      <c r="D2" s="32"/>
      <c r="E2" s="39" t="s">
        <v>1268</v>
      </c>
    </row>
    <row r="3" spans="1:7" x14ac:dyDescent="0.25">
      <c r="A3" s="32"/>
      <c r="B3" s="32"/>
      <c r="C3" s="32"/>
      <c r="D3" s="32"/>
      <c r="E3" s="40"/>
    </row>
    <row r="4" spans="1:7" x14ac:dyDescent="0.25">
      <c r="A4" t="s">
        <v>442</v>
      </c>
      <c r="B4" s="28">
        <v>6</v>
      </c>
      <c r="C4" s="28">
        <v>4.2</v>
      </c>
      <c r="D4" s="28"/>
      <c r="E4" s="40" t="s">
        <v>452</v>
      </c>
    </row>
    <row r="5" spans="1:7" x14ac:dyDescent="0.25">
      <c r="A5" t="s">
        <v>443</v>
      </c>
      <c r="B5">
        <f>B4*61.02</f>
        <v>366.12</v>
      </c>
      <c r="C5">
        <f>C4*61.02</f>
        <v>256.28400000000005</v>
      </c>
      <c r="E5" s="40"/>
    </row>
    <row r="6" spans="1:7" x14ac:dyDescent="0.25">
      <c r="A6" t="s">
        <v>444</v>
      </c>
      <c r="B6">
        <f>B5/(12*12*12)</f>
        <v>0.21187500000000001</v>
      </c>
      <c r="C6">
        <f>C5/(12*12*12)</f>
        <v>0.14831250000000004</v>
      </c>
      <c r="E6" s="40"/>
    </row>
    <row r="7" spans="1:7" x14ac:dyDescent="0.25">
      <c r="A7" t="s">
        <v>3383</v>
      </c>
      <c r="B7">
        <f>B6*60</f>
        <v>12.7125</v>
      </c>
      <c r="C7">
        <f>C6*60</f>
        <v>8.8987500000000033</v>
      </c>
    </row>
    <row r="9" spans="1:7" s="28" customFormat="1" x14ac:dyDescent="0.25">
      <c r="A9" s="28" t="s">
        <v>3385</v>
      </c>
      <c r="C9" s="28" t="s">
        <v>1414</v>
      </c>
      <c r="D9" s="28" t="s">
        <v>861</v>
      </c>
      <c r="E9" s="28" t="s">
        <v>1268</v>
      </c>
    </row>
    <row r="10" spans="1:7" x14ac:dyDescent="0.25">
      <c r="A10" t="s">
        <v>3390</v>
      </c>
      <c r="B10">
        <v>375</v>
      </c>
      <c r="C10" s="30">
        <f>30*30*8</f>
        <v>7200</v>
      </c>
      <c r="D10">
        <f>B10*60/C10</f>
        <v>3.125</v>
      </c>
      <c r="E10" t="s">
        <v>3384</v>
      </c>
    </row>
    <row r="11" spans="1:7" x14ac:dyDescent="0.25">
      <c r="A11" t="s">
        <v>3391</v>
      </c>
      <c r="B11">
        <v>120</v>
      </c>
      <c r="C11" s="30">
        <f>30*30*8</f>
        <v>7200</v>
      </c>
      <c r="D11">
        <f>B11*60/C11</f>
        <v>1</v>
      </c>
      <c r="E11" t="s">
        <v>1263</v>
      </c>
      <c r="G11" t="s">
        <v>3405</v>
      </c>
    </row>
    <row r="12" spans="1:7" x14ac:dyDescent="0.25">
      <c r="A12" t="s">
        <v>3387</v>
      </c>
      <c r="B12">
        <v>8</v>
      </c>
      <c r="E12" t="s">
        <v>3406</v>
      </c>
    </row>
    <row r="13" spans="1:7" x14ac:dyDescent="0.25">
      <c r="A13" t="s">
        <v>3386</v>
      </c>
      <c r="B13">
        <v>4200</v>
      </c>
      <c r="E13" t="s">
        <v>3388</v>
      </c>
    </row>
    <row r="14" spans="1:7" x14ac:dyDescent="0.25">
      <c r="A14" t="s">
        <v>3389</v>
      </c>
      <c r="B14">
        <v>1.5</v>
      </c>
    </row>
    <row r="16" spans="1:7" s="28" customFormat="1" x14ac:dyDescent="0.25">
      <c r="A16" s="28" t="s">
        <v>3400</v>
      </c>
      <c r="B16" s="28" t="s">
        <v>3396</v>
      </c>
      <c r="C16" s="28" t="s">
        <v>3397</v>
      </c>
      <c r="D16" s="28" t="s">
        <v>869</v>
      </c>
      <c r="E16" s="28" t="s">
        <v>861</v>
      </c>
    </row>
    <row r="17" spans="1:10" x14ac:dyDescent="0.25">
      <c r="A17" t="s">
        <v>3407</v>
      </c>
      <c r="B17">
        <v>160</v>
      </c>
      <c r="C17" s="292">
        <f>B17/28.3168</f>
        <v>5.6503559724262624</v>
      </c>
      <c r="D17" s="46">
        <f>C17*60</f>
        <v>339.02135834557572</v>
      </c>
      <c r="E17" s="46">
        <f>D17*60/E22</f>
        <v>23.584422624702658</v>
      </c>
      <c r="F17" s="162" t="s">
        <v>3392</v>
      </c>
    </row>
    <row r="18" spans="1:10" x14ac:dyDescent="0.25">
      <c r="A18" t="s">
        <v>3398</v>
      </c>
      <c r="B18">
        <v>6</v>
      </c>
      <c r="C18" s="292">
        <f t="shared" ref="C18:C19" si="0">B18/28.3168</f>
        <v>0.21188834896598485</v>
      </c>
      <c r="D18" s="46">
        <f t="shared" ref="D18:D19" si="1">C18*60</f>
        <v>12.71330093795909</v>
      </c>
      <c r="F18" s="162" t="s">
        <v>3393</v>
      </c>
    </row>
    <row r="19" spans="1:10" x14ac:dyDescent="0.25">
      <c r="A19" t="s">
        <v>3399</v>
      </c>
      <c r="B19">
        <v>2.5</v>
      </c>
      <c r="C19" s="292">
        <f t="shared" si="0"/>
        <v>8.828681206916035E-2</v>
      </c>
      <c r="D19" s="46">
        <f t="shared" si="1"/>
        <v>5.2972087241496206</v>
      </c>
      <c r="F19" s="162" t="s">
        <v>3394</v>
      </c>
    </row>
    <row r="20" spans="1:10" x14ac:dyDescent="0.25">
      <c r="A20" t="s">
        <v>3395</v>
      </c>
    </row>
    <row r="21" spans="1:10" x14ac:dyDescent="0.25">
      <c r="A21" t="s">
        <v>3409</v>
      </c>
      <c r="B21">
        <v>4</v>
      </c>
      <c r="C21">
        <v>2</v>
      </c>
      <c r="D21">
        <v>3</v>
      </c>
    </row>
    <row r="22" spans="1:10" x14ac:dyDescent="0.25">
      <c r="A22" t="s">
        <v>3408</v>
      </c>
      <c r="B22" s="31">
        <f>B21*3.3</f>
        <v>13.2</v>
      </c>
      <c r="C22" s="31">
        <f t="shared" ref="C22:D22" si="2">C21*3.3</f>
        <v>6.6</v>
      </c>
      <c r="D22" s="31">
        <f t="shared" si="2"/>
        <v>9.8999999999999986</v>
      </c>
      <c r="E22" s="31">
        <f>B22*C22*D22</f>
        <v>862.48799999999983</v>
      </c>
    </row>
    <row r="25" spans="1:10" x14ac:dyDescent="0.25">
      <c r="A25" t="s">
        <v>3401</v>
      </c>
    </row>
    <row r="26" spans="1:10" x14ac:dyDescent="0.25">
      <c r="A26" t="s">
        <v>3402</v>
      </c>
    </row>
    <row r="27" spans="1:10" x14ac:dyDescent="0.25">
      <c r="A27" t="s">
        <v>3403</v>
      </c>
    </row>
    <row r="28" spans="1:10" x14ac:dyDescent="0.25">
      <c r="A28" t="s">
        <v>3404</v>
      </c>
    </row>
    <row r="30" spans="1:10" x14ac:dyDescent="0.25">
      <c r="B30" s="28" t="s">
        <v>1414</v>
      </c>
      <c r="C30" s="28" t="s">
        <v>3491</v>
      </c>
      <c r="D30" s="28" t="s">
        <v>3494</v>
      </c>
      <c r="E30" s="28"/>
      <c r="F30" s="28" t="s">
        <v>3492</v>
      </c>
      <c r="G30" s="28" t="s">
        <v>3495</v>
      </c>
      <c r="H30" s="28" t="s">
        <v>1488</v>
      </c>
      <c r="I30" s="28" t="s">
        <v>3493</v>
      </c>
      <c r="J30" s="28"/>
    </row>
    <row r="31" spans="1:10" x14ac:dyDescent="0.25">
      <c r="B31" s="29">
        <v>10000</v>
      </c>
      <c r="C31">
        <v>12</v>
      </c>
      <c r="D31" s="48">
        <f t="shared" ref="D31:D32" si="3">B31/B$31</f>
        <v>1</v>
      </c>
      <c r="F31">
        <v>12</v>
      </c>
      <c r="G31" s="31">
        <f>SQRT(H31)</f>
        <v>28.867513459481287</v>
      </c>
      <c r="H31" s="31">
        <f t="shared" ref="H31:H32" si="4">B31/C31</f>
        <v>833.33333333333337</v>
      </c>
      <c r="I31" s="48">
        <f t="shared" ref="I31:I37" si="5">H31/H$31</f>
        <v>1</v>
      </c>
    </row>
    <row r="32" spans="1:10" x14ac:dyDescent="0.25">
      <c r="B32" s="29">
        <v>20000</v>
      </c>
      <c r="C32">
        <v>12</v>
      </c>
      <c r="D32" s="48">
        <f t="shared" si="3"/>
        <v>2</v>
      </c>
      <c r="F32">
        <v>12</v>
      </c>
      <c r="G32" s="31">
        <f t="shared" ref="G32" si="6">SQRT(H32)</f>
        <v>40.824829046386306</v>
      </c>
      <c r="H32" s="31">
        <f t="shared" si="4"/>
        <v>1666.6666666666667</v>
      </c>
      <c r="I32" s="48">
        <f t="shared" si="5"/>
        <v>2</v>
      </c>
    </row>
    <row r="33" spans="2:9" x14ac:dyDescent="0.25">
      <c r="B33" s="29">
        <v>50000</v>
      </c>
      <c r="C33">
        <v>22</v>
      </c>
      <c r="D33" s="48">
        <f t="shared" ref="D33:D37" si="7">B33/B$31</f>
        <v>5</v>
      </c>
      <c r="F33">
        <v>12</v>
      </c>
      <c r="G33" s="31">
        <f t="shared" ref="G33:G37" si="8">SQRT(H33)</f>
        <v>47.673129462279611</v>
      </c>
      <c r="H33" s="31">
        <f t="shared" ref="H33:H37" si="9">B33/C33</f>
        <v>2272.7272727272725</v>
      </c>
      <c r="I33" s="48">
        <f t="shared" si="5"/>
        <v>2.7272727272727271</v>
      </c>
    </row>
    <row r="34" spans="2:9" x14ac:dyDescent="0.25">
      <c r="B34" s="29">
        <v>100000</v>
      </c>
      <c r="C34">
        <v>22</v>
      </c>
      <c r="D34" s="48">
        <f t="shared" si="7"/>
        <v>10</v>
      </c>
      <c r="F34">
        <v>12</v>
      </c>
      <c r="G34" s="31">
        <f t="shared" si="8"/>
        <v>67.4199862463242</v>
      </c>
      <c r="H34" s="31">
        <f t="shared" si="9"/>
        <v>4545.454545454545</v>
      </c>
      <c r="I34" s="48">
        <f t="shared" si="5"/>
        <v>5.4545454545454541</v>
      </c>
    </row>
    <row r="35" spans="2:9" x14ac:dyDescent="0.25">
      <c r="B35" s="29">
        <v>200000</v>
      </c>
      <c r="C35">
        <v>40</v>
      </c>
      <c r="D35" s="48">
        <f t="shared" si="7"/>
        <v>20</v>
      </c>
      <c r="F35">
        <v>12</v>
      </c>
      <c r="G35" s="31">
        <f t="shared" si="8"/>
        <v>70.710678118654755</v>
      </c>
      <c r="H35" s="31">
        <f t="shared" si="9"/>
        <v>5000</v>
      </c>
      <c r="I35" s="48">
        <f t="shared" si="5"/>
        <v>6</v>
      </c>
    </row>
    <row r="36" spans="2:9" x14ac:dyDescent="0.25">
      <c r="B36" s="29">
        <v>300000</v>
      </c>
      <c r="C36">
        <v>40</v>
      </c>
      <c r="D36" s="48">
        <f t="shared" si="7"/>
        <v>30</v>
      </c>
      <c r="F36">
        <v>12</v>
      </c>
      <c r="G36" s="31">
        <f t="shared" si="8"/>
        <v>86.602540378443862</v>
      </c>
      <c r="H36" s="31">
        <f t="shared" si="9"/>
        <v>7500</v>
      </c>
      <c r="I36" s="48">
        <f t="shared" si="5"/>
        <v>9</v>
      </c>
    </row>
    <row r="37" spans="2:9" x14ac:dyDescent="0.25">
      <c r="B37" s="29">
        <v>400000</v>
      </c>
      <c r="C37">
        <v>40</v>
      </c>
      <c r="D37" s="48">
        <f t="shared" si="7"/>
        <v>40</v>
      </c>
      <c r="F37">
        <v>12</v>
      </c>
      <c r="G37" s="31">
        <f t="shared" si="8"/>
        <v>100</v>
      </c>
      <c r="H37" s="31">
        <f t="shared" si="9"/>
        <v>10000</v>
      </c>
      <c r="I37" s="48">
        <f t="shared" si="5"/>
        <v>12</v>
      </c>
    </row>
  </sheetData>
  <sortState xmlns:xlrd2="http://schemas.microsoft.com/office/spreadsheetml/2017/richdata2" ref="B31:B36">
    <sortCondition ref="B31:B36"/>
  </sortState>
  <pageMargins left="0.7" right="0.7" top="0.75" bottom="0.75" header="0.3" footer="0.3"/>
  <pageSetup orientation="portrait" horizontalDpi="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74DD-3FE5-4CB8-A792-6F09F81558A5}">
  <dimension ref="A2:U61"/>
  <sheetViews>
    <sheetView workbookViewId="0"/>
  </sheetViews>
  <sheetFormatPr defaultRowHeight="15" x14ac:dyDescent="0.25"/>
  <cols>
    <col min="1" max="1" width="8.5703125" style="2" bestFit="1" customWidth="1"/>
    <col min="2" max="2" width="8.42578125" bestFit="1" customWidth="1"/>
    <col min="3" max="3" width="5" style="31" bestFit="1" customWidth="1"/>
    <col min="4" max="4" width="9.140625" style="28"/>
    <col min="5" max="5" width="6.7109375" bestFit="1" customWidth="1"/>
    <col min="6" max="6" width="9" bestFit="1" customWidth="1"/>
    <col min="7" max="7" width="9.140625" bestFit="1" customWidth="1"/>
    <col min="8" max="8" width="11.140625" bestFit="1" customWidth="1"/>
    <col min="9" max="9" width="13.85546875" bestFit="1" customWidth="1"/>
    <col min="10" max="10" width="8.28515625" bestFit="1" customWidth="1"/>
    <col min="11" max="11" width="9.5703125" bestFit="1" customWidth="1"/>
    <col min="12" max="12" width="9.5703125" customWidth="1"/>
    <col min="13" max="13" width="14.5703125" customWidth="1"/>
    <col min="14" max="14" width="9.140625" style="28" bestFit="1" customWidth="1"/>
    <col min="15" max="15" width="6" bestFit="1" customWidth="1"/>
    <col min="16" max="16" width="11.140625" style="28" bestFit="1" customWidth="1"/>
    <col min="17" max="17" width="11.140625" bestFit="1" customWidth="1"/>
    <col min="18" max="18" width="6.140625" style="28" bestFit="1" customWidth="1"/>
    <col min="19" max="19" width="10.140625" bestFit="1" customWidth="1"/>
    <col min="20" max="20" width="15.28515625" bestFit="1" customWidth="1"/>
    <col min="21" max="21" width="28" customWidth="1"/>
  </cols>
  <sheetData>
    <row r="2" spans="1:21" s="2" customFormat="1" ht="45" x14ac:dyDescent="0.25">
      <c r="A2" s="42" t="s">
        <v>1534</v>
      </c>
      <c r="B2" s="42" t="s">
        <v>1535</v>
      </c>
      <c r="C2" s="86" t="s">
        <v>264</v>
      </c>
      <c r="D2" s="42" t="s">
        <v>1458</v>
      </c>
      <c r="E2" s="42" t="s">
        <v>1456</v>
      </c>
      <c r="F2" s="42" t="s">
        <v>1475</v>
      </c>
      <c r="G2" s="42" t="s">
        <v>1476</v>
      </c>
      <c r="H2" s="42" t="s">
        <v>1453</v>
      </c>
      <c r="I2" s="42" t="s">
        <v>1457</v>
      </c>
      <c r="J2" s="42" t="s">
        <v>1467</v>
      </c>
      <c r="K2" s="42" t="s">
        <v>1455</v>
      </c>
      <c r="L2" s="42" t="s">
        <v>1495</v>
      </c>
      <c r="M2" s="42" t="s">
        <v>1459</v>
      </c>
      <c r="N2" s="42" t="s">
        <v>1460</v>
      </c>
      <c r="O2" s="42" t="s">
        <v>861</v>
      </c>
      <c r="P2" s="42" t="s">
        <v>13</v>
      </c>
      <c r="Q2" s="42" t="s">
        <v>1263</v>
      </c>
      <c r="R2" s="42" t="s">
        <v>1461</v>
      </c>
      <c r="S2" s="42" t="s">
        <v>10</v>
      </c>
      <c r="T2" s="42" t="s">
        <v>1470</v>
      </c>
      <c r="U2" s="42" t="s">
        <v>1469</v>
      </c>
    </row>
    <row r="3" spans="1:21" x14ac:dyDescent="0.25">
      <c r="E3" s="77"/>
      <c r="H3" s="30"/>
      <c r="I3" s="29"/>
      <c r="J3" s="30"/>
      <c r="K3" s="76"/>
      <c r="L3" s="76"/>
      <c r="M3" s="30"/>
      <c r="N3" s="29"/>
      <c r="O3" s="46"/>
      <c r="P3" s="29"/>
      <c r="Q3" s="30"/>
      <c r="S3" s="30"/>
      <c r="T3" s="30"/>
    </row>
    <row r="4" spans="1:21" x14ac:dyDescent="0.25">
      <c r="A4" s="79">
        <v>6</v>
      </c>
      <c r="B4" s="88">
        <v>0.1</v>
      </c>
      <c r="C4" s="31">
        <f>B4*(N4/12)/(A4*A4)</f>
        <v>2.5</v>
      </c>
      <c r="D4" s="28">
        <v>366</v>
      </c>
      <c r="E4" s="77">
        <f t="shared" ref="E4:E9" si="0">$J$47</f>
        <v>0.02</v>
      </c>
      <c r="F4" s="28">
        <f t="shared" ref="F4:F5" si="1">3600*4</f>
        <v>14400</v>
      </c>
      <c r="G4">
        <f>F4/3600</f>
        <v>4</v>
      </c>
      <c r="H4" s="30">
        <f t="shared" ref="H4:H9" si="2">C4*D4*E4*F4</f>
        <v>263520</v>
      </c>
      <c r="I4" s="30">
        <f>M4*12*12*12/3600</f>
        <v>18662400</v>
      </c>
      <c r="J4" s="78" t="s">
        <v>1468</v>
      </c>
      <c r="K4" s="76">
        <f t="shared" ref="K4:K9" si="3">(1-EXP(-H4/I4))</f>
        <v>1.4021145520252465E-2</v>
      </c>
      <c r="L4" s="34">
        <f t="shared" ref="L4:L16" si="4">K4</f>
        <v>1.4021145520252465E-2</v>
      </c>
      <c r="M4" s="30">
        <f>N4*O4</f>
        <v>38880000</v>
      </c>
      <c r="N4" s="29">
        <v>10800</v>
      </c>
      <c r="O4" s="48">
        <v>3600</v>
      </c>
      <c r="P4" s="29">
        <v>328000000</v>
      </c>
      <c r="Q4" s="30">
        <f t="shared" ref="Q4:Q9" si="5">P4*(K4)</f>
        <v>4598935.7306428086</v>
      </c>
      <c r="R4" s="28">
        <v>3.5000000000000003E-2</v>
      </c>
      <c r="S4" s="30">
        <f t="shared" ref="S4:S9" si="6">Q4*R4</f>
        <v>160962.75057249831</v>
      </c>
      <c r="T4" s="30" t="s">
        <v>1477</v>
      </c>
      <c r="U4" t="s">
        <v>1480</v>
      </c>
    </row>
    <row r="5" spans="1:21" x14ac:dyDescent="0.25">
      <c r="A5" s="79">
        <v>6</v>
      </c>
      <c r="B5" s="88">
        <v>0.1</v>
      </c>
      <c r="C5" s="31">
        <f t="shared" ref="C5" si="7">B5*(N5/12)/(A5*A5)</f>
        <v>2.5</v>
      </c>
      <c r="D5" s="28">
        <v>366</v>
      </c>
      <c r="E5" s="77">
        <f t="shared" si="0"/>
        <v>0.02</v>
      </c>
      <c r="F5" s="28">
        <f t="shared" si="1"/>
        <v>14400</v>
      </c>
      <c r="G5">
        <f>F5/3600</f>
        <v>4</v>
      </c>
      <c r="H5" s="30">
        <f t="shared" si="2"/>
        <v>263520</v>
      </c>
      <c r="I5" s="30">
        <f t="shared" ref="I5:I9" si="8">M5*12*12*12/3600</f>
        <v>93312000</v>
      </c>
      <c r="J5" s="78" t="s">
        <v>1468</v>
      </c>
      <c r="K5" s="76">
        <f t="shared" si="3"/>
        <v>2.8200901280881485E-3</v>
      </c>
      <c r="L5" s="57">
        <f t="shared" si="4"/>
        <v>2.8200901280881485E-3</v>
      </c>
      <c r="M5" s="30">
        <f t="shared" ref="M5:M9" si="9">N5*O5</f>
        <v>194400000</v>
      </c>
      <c r="N5" s="29">
        <v>10800</v>
      </c>
      <c r="O5" s="31">
        <f>O4*5</f>
        <v>18000</v>
      </c>
      <c r="P5" s="29">
        <v>328000000</v>
      </c>
      <c r="Q5" s="30">
        <f t="shared" si="5"/>
        <v>924989.56201291271</v>
      </c>
      <c r="R5" s="28">
        <f t="shared" ref="R5:R9" si="10">R4</f>
        <v>3.5000000000000003E-2</v>
      </c>
      <c r="S5" s="30">
        <f t="shared" si="6"/>
        <v>32374.634670451949</v>
      </c>
      <c r="T5" s="30" t="s">
        <v>1479</v>
      </c>
      <c r="U5" t="s">
        <v>1480</v>
      </c>
    </row>
    <row r="6" spans="1:21" x14ac:dyDescent="0.25">
      <c r="A6" s="79">
        <v>6</v>
      </c>
      <c r="B6" s="88">
        <v>0.1</v>
      </c>
      <c r="C6" s="31">
        <f>B6*(N6/40)/(A6*A6)</f>
        <v>27.777777777777779</v>
      </c>
      <c r="D6" s="28">
        <v>366</v>
      </c>
      <c r="E6" s="77">
        <f t="shared" si="0"/>
        <v>0.02</v>
      </c>
      <c r="F6" s="28">
        <f>3600*4</f>
        <v>14400</v>
      </c>
      <c r="G6">
        <f t="shared" ref="G6:G9" si="11">F6/3600</f>
        <v>4</v>
      </c>
      <c r="H6" s="30">
        <f t="shared" si="2"/>
        <v>2927999.9999999995</v>
      </c>
      <c r="I6" s="30">
        <f t="shared" si="8"/>
        <v>691200000</v>
      </c>
      <c r="J6" s="78" t="s">
        <v>1468</v>
      </c>
      <c r="K6" s="76">
        <f t="shared" si="3"/>
        <v>4.2271514482787875E-3</v>
      </c>
      <c r="L6" s="57">
        <f t="shared" si="4"/>
        <v>4.2271514482787875E-3</v>
      </c>
      <c r="M6" s="30">
        <f t="shared" si="9"/>
        <v>1440000000</v>
      </c>
      <c r="N6" s="29">
        <v>400000</v>
      </c>
      <c r="O6" s="48">
        <v>3600</v>
      </c>
      <c r="P6" s="29">
        <v>328000000</v>
      </c>
      <c r="Q6" s="30">
        <f t="shared" si="5"/>
        <v>1386505.6750354422</v>
      </c>
      <c r="R6" s="28">
        <f t="shared" si="10"/>
        <v>3.5000000000000003E-2</v>
      </c>
      <c r="S6" s="30">
        <f t="shared" si="6"/>
        <v>48527.698626240483</v>
      </c>
      <c r="T6" s="30" t="s">
        <v>1477</v>
      </c>
      <c r="U6" t="s">
        <v>1478</v>
      </c>
    </row>
    <row r="7" spans="1:21" x14ac:dyDescent="0.25">
      <c r="A7" s="79">
        <v>6</v>
      </c>
      <c r="B7" s="88">
        <v>0.1</v>
      </c>
      <c r="C7" s="31">
        <f t="shared" ref="C7:C9" si="12">B7*(N7/40)/(A7*A7)</f>
        <v>27.777777777777779</v>
      </c>
      <c r="D7" s="28">
        <v>366</v>
      </c>
      <c r="E7" s="77">
        <f t="shared" si="0"/>
        <v>0.02</v>
      </c>
      <c r="F7" s="28">
        <f>3600*4</f>
        <v>14400</v>
      </c>
      <c r="G7">
        <f t="shared" si="11"/>
        <v>4</v>
      </c>
      <c r="H7" s="30">
        <f t="shared" si="2"/>
        <v>2927999.9999999995</v>
      </c>
      <c r="I7" s="30">
        <f t="shared" si="8"/>
        <v>3456000000</v>
      </c>
      <c r="J7" s="78" t="s">
        <v>1468</v>
      </c>
      <c r="K7" s="76">
        <f t="shared" si="3"/>
        <v>8.4686343080786486E-4</v>
      </c>
      <c r="L7" s="57">
        <f t="shared" si="4"/>
        <v>8.4686343080786486E-4</v>
      </c>
      <c r="M7" s="30">
        <f t="shared" si="9"/>
        <v>7200000000</v>
      </c>
      <c r="N7" s="29">
        <v>400000</v>
      </c>
      <c r="O7" s="31">
        <f>O6*5</f>
        <v>18000</v>
      </c>
      <c r="P7" s="29">
        <v>328000000</v>
      </c>
      <c r="Q7" s="30">
        <f t="shared" si="5"/>
        <v>277771.2053049797</v>
      </c>
      <c r="R7" s="28">
        <f t="shared" si="10"/>
        <v>3.5000000000000003E-2</v>
      </c>
      <c r="S7" s="30">
        <f t="shared" si="6"/>
        <v>9721.9921856742894</v>
      </c>
      <c r="T7" s="30" t="s">
        <v>1479</v>
      </c>
      <c r="U7" t="s">
        <v>1478</v>
      </c>
    </row>
    <row r="8" spans="1:21" x14ac:dyDescent="0.25">
      <c r="A8" s="79">
        <v>6</v>
      </c>
      <c r="B8" s="88">
        <v>0.1</v>
      </c>
      <c r="C8" s="31">
        <f t="shared" si="12"/>
        <v>277.77777777777777</v>
      </c>
      <c r="D8" s="28">
        <v>366</v>
      </c>
      <c r="E8" s="77">
        <f t="shared" si="0"/>
        <v>0.02</v>
      </c>
      <c r="F8" s="28">
        <f>3600*4</f>
        <v>14400</v>
      </c>
      <c r="G8">
        <f t="shared" si="11"/>
        <v>4</v>
      </c>
      <c r="H8" s="30">
        <f t="shared" si="2"/>
        <v>29280000.000000004</v>
      </c>
      <c r="I8" s="30">
        <f t="shared" si="8"/>
        <v>6912000000</v>
      </c>
      <c r="J8" s="78" t="s">
        <v>1468</v>
      </c>
      <c r="K8" s="76">
        <f t="shared" si="3"/>
        <v>4.2271514482787875E-3</v>
      </c>
      <c r="L8" s="57">
        <f t="shared" si="4"/>
        <v>4.2271514482787875E-3</v>
      </c>
      <c r="M8" s="30">
        <f t="shared" si="9"/>
        <v>14400000000</v>
      </c>
      <c r="N8" s="29">
        <f>100*1000*40</f>
        <v>4000000</v>
      </c>
      <c r="O8" s="48">
        <v>3600</v>
      </c>
      <c r="P8" s="29">
        <v>328000000</v>
      </c>
      <c r="Q8" s="30">
        <f t="shared" si="5"/>
        <v>1386505.6750354422</v>
      </c>
      <c r="R8" s="28">
        <f t="shared" si="10"/>
        <v>3.5000000000000003E-2</v>
      </c>
      <c r="S8" s="30">
        <f t="shared" si="6"/>
        <v>48527.698626240483</v>
      </c>
      <c r="T8" s="30" t="s">
        <v>1477</v>
      </c>
      <c r="U8" t="s">
        <v>1481</v>
      </c>
    </row>
    <row r="9" spans="1:21" x14ac:dyDescent="0.25">
      <c r="A9" s="79">
        <v>6</v>
      </c>
      <c r="B9" s="88">
        <v>0.1</v>
      </c>
      <c r="C9" s="31">
        <f t="shared" si="12"/>
        <v>277.77777777777777</v>
      </c>
      <c r="D9" s="28">
        <v>366</v>
      </c>
      <c r="E9" s="77">
        <f t="shared" si="0"/>
        <v>0.02</v>
      </c>
      <c r="F9" s="28">
        <f>3600*4</f>
        <v>14400</v>
      </c>
      <c r="G9">
        <f t="shared" si="11"/>
        <v>4</v>
      </c>
      <c r="H9" s="30">
        <f t="shared" si="2"/>
        <v>29280000.000000004</v>
      </c>
      <c r="I9" s="30">
        <f t="shared" si="8"/>
        <v>34560000000</v>
      </c>
      <c r="J9" s="78" t="s">
        <v>1468</v>
      </c>
      <c r="K9" s="76">
        <f t="shared" si="3"/>
        <v>8.4686343080786486E-4</v>
      </c>
      <c r="L9" s="57">
        <f t="shared" si="4"/>
        <v>8.4686343080786486E-4</v>
      </c>
      <c r="M9" s="30">
        <f t="shared" si="9"/>
        <v>72000000000</v>
      </c>
      <c r="N9" s="29">
        <f>100*1000*40</f>
        <v>4000000</v>
      </c>
      <c r="O9" s="31">
        <f>O8*5</f>
        <v>18000</v>
      </c>
      <c r="P9" s="29">
        <v>328000000</v>
      </c>
      <c r="Q9" s="30">
        <f t="shared" si="5"/>
        <v>277771.2053049797</v>
      </c>
      <c r="R9" s="28">
        <f t="shared" si="10"/>
        <v>3.5000000000000003E-2</v>
      </c>
      <c r="S9" s="30">
        <f t="shared" si="6"/>
        <v>9721.9921856742894</v>
      </c>
      <c r="T9" s="30" t="s">
        <v>1479</v>
      </c>
      <c r="U9" t="s">
        <v>1481</v>
      </c>
    </row>
    <row r="10" spans="1:21" x14ac:dyDescent="0.25">
      <c r="B10" s="88"/>
      <c r="E10" s="77"/>
      <c r="H10" s="30"/>
      <c r="I10" s="29"/>
      <c r="J10" s="30"/>
      <c r="K10" s="76"/>
      <c r="L10" s="76"/>
      <c r="M10" s="30"/>
      <c r="N10" s="29"/>
      <c r="O10" s="31"/>
      <c r="P10" s="29"/>
      <c r="Q10" s="30"/>
      <c r="S10" s="30"/>
      <c r="T10" s="30"/>
    </row>
    <row r="11" spans="1:21" x14ac:dyDescent="0.25">
      <c r="A11" s="79">
        <v>12</v>
      </c>
      <c r="B11" s="88">
        <v>0.1</v>
      </c>
      <c r="C11" s="31">
        <f>B11*(N11/12)/(A11*A11)</f>
        <v>0.625</v>
      </c>
      <c r="D11" s="28">
        <v>366</v>
      </c>
      <c r="E11" s="77">
        <f t="shared" ref="E11:E16" si="13">$J$47</f>
        <v>0.02</v>
      </c>
      <c r="F11" s="28">
        <f t="shared" ref="F11:F12" si="14">3600*4</f>
        <v>14400</v>
      </c>
      <c r="G11">
        <f>F11/3600</f>
        <v>4</v>
      </c>
      <c r="H11" s="30">
        <f t="shared" ref="H11:H16" si="15">C11*D11*E11*F11</f>
        <v>65880</v>
      </c>
      <c r="I11" s="30">
        <f>M11*12*12*12/3600</f>
        <v>18662400</v>
      </c>
      <c r="J11" s="78" t="s">
        <v>1468</v>
      </c>
      <c r="K11" s="76">
        <f t="shared" ref="K11:K16" si="16">(1-EXP(-H11/I11))</f>
        <v>3.5238691410103273E-3</v>
      </c>
      <c r="L11" s="57">
        <f t="shared" si="4"/>
        <v>3.5238691410103273E-3</v>
      </c>
      <c r="M11" s="30">
        <f>N11*O11</f>
        <v>38880000</v>
      </c>
      <c r="N11" s="29">
        <v>10800</v>
      </c>
      <c r="O11" s="48">
        <v>3600</v>
      </c>
      <c r="P11" s="29">
        <v>328000000</v>
      </c>
      <c r="Q11" s="30">
        <f t="shared" ref="Q11:Q16" si="17">P11*(K11)</f>
        <v>1155829.0782513875</v>
      </c>
      <c r="R11" s="28">
        <v>3.5000000000000003E-2</v>
      </c>
      <c r="S11" s="30">
        <f t="shared" ref="S11:S16" si="18">Q11*R11</f>
        <v>40454.017738798568</v>
      </c>
      <c r="T11" s="30" t="s">
        <v>1477</v>
      </c>
      <c r="U11" t="s">
        <v>1480</v>
      </c>
    </row>
    <row r="12" spans="1:21" x14ac:dyDescent="0.25">
      <c r="A12" s="79">
        <v>12</v>
      </c>
      <c r="B12" s="88">
        <v>0.1</v>
      </c>
      <c r="C12" s="31">
        <f t="shared" ref="C12" si="19">B12*(N12/12)/(A12*A12)</f>
        <v>0.625</v>
      </c>
      <c r="D12" s="28">
        <v>366</v>
      </c>
      <c r="E12" s="77">
        <f t="shared" si="13"/>
        <v>0.02</v>
      </c>
      <c r="F12" s="28">
        <f t="shared" si="14"/>
        <v>14400</v>
      </c>
      <c r="G12">
        <f>F12/3600</f>
        <v>4</v>
      </c>
      <c r="H12" s="30">
        <f t="shared" si="15"/>
        <v>65880</v>
      </c>
      <c r="I12" s="30">
        <f t="shared" ref="I12:I16" si="20">M12*12*12*12/3600</f>
        <v>93312000</v>
      </c>
      <c r="J12" s="78" t="s">
        <v>1468</v>
      </c>
      <c r="K12" s="76">
        <f t="shared" si="16"/>
        <v>7.0576934608779229E-4</v>
      </c>
      <c r="L12" s="57">
        <f t="shared" si="4"/>
        <v>7.0576934608779229E-4</v>
      </c>
      <c r="M12" s="30">
        <f t="shared" ref="M12:M16" si="21">N12*O12</f>
        <v>194400000</v>
      </c>
      <c r="N12" s="29">
        <v>10800</v>
      </c>
      <c r="O12" s="31">
        <f>O11*5</f>
        <v>18000</v>
      </c>
      <c r="P12" s="29">
        <v>328000000</v>
      </c>
      <c r="Q12" s="30">
        <f t="shared" si="17"/>
        <v>231492.34551679587</v>
      </c>
      <c r="R12" s="28">
        <f t="shared" ref="R12:R16" si="22">R11</f>
        <v>3.5000000000000003E-2</v>
      </c>
      <c r="S12" s="30">
        <f t="shared" si="18"/>
        <v>8102.2320930878568</v>
      </c>
      <c r="T12" s="30" t="s">
        <v>1479</v>
      </c>
      <c r="U12" t="s">
        <v>1480</v>
      </c>
    </row>
    <row r="13" spans="1:21" x14ac:dyDescent="0.25">
      <c r="A13" s="79">
        <v>12</v>
      </c>
      <c r="B13" s="88">
        <v>0.1</v>
      </c>
      <c r="C13" s="31">
        <f>B13*(N13/40)/(A13*A13)</f>
        <v>6.9444444444444446</v>
      </c>
      <c r="D13" s="28">
        <v>366</v>
      </c>
      <c r="E13" s="77">
        <f t="shared" si="13"/>
        <v>0.02</v>
      </c>
      <c r="F13" s="28">
        <f>3600*4</f>
        <v>14400</v>
      </c>
      <c r="G13">
        <f t="shared" ref="G13:G16" si="23">F13/3600</f>
        <v>4</v>
      </c>
      <c r="H13" s="30">
        <f t="shared" si="15"/>
        <v>731999.99999999988</v>
      </c>
      <c r="I13" s="30">
        <f t="shared" si="20"/>
        <v>691200000</v>
      </c>
      <c r="J13" s="78" t="s">
        <v>1468</v>
      </c>
      <c r="K13" s="76">
        <f t="shared" si="16"/>
        <v>1.0584672057653011E-3</v>
      </c>
      <c r="L13" s="57">
        <f t="shared" si="4"/>
        <v>1.0584672057653011E-3</v>
      </c>
      <c r="M13" s="30">
        <f t="shared" si="21"/>
        <v>1440000000</v>
      </c>
      <c r="N13" s="29">
        <v>400000</v>
      </c>
      <c r="O13" s="48">
        <v>3600</v>
      </c>
      <c r="P13" s="29">
        <v>328000000</v>
      </c>
      <c r="Q13" s="30">
        <f t="shared" si="17"/>
        <v>347177.24349101877</v>
      </c>
      <c r="R13" s="28">
        <f t="shared" si="22"/>
        <v>3.5000000000000003E-2</v>
      </c>
      <c r="S13" s="30">
        <f t="shared" si="18"/>
        <v>12151.203522185659</v>
      </c>
      <c r="T13" s="30" t="s">
        <v>1477</v>
      </c>
      <c r="U13" t="s">
        <v>1478</v>
      </c>
    </row>
    <row r="14" spans="1:21" x14ac:dyDescent="0.25">
      <c r="A14" s="79">
        <v>12</v>
      </c>
      <c r="B14" s="88">
        <v>0.1</v>
      </c>
      <c r="C14" s="31">
        <f t="shared" ref="C14:C16" si="24">B14*(N14/40)/(A14*A14)</f>
        <v>6.9444444444444446</v>
      </c>
      <c r="D14" s="28">
        <v>366</v>
      </c>
      <c r="E14" s="77">
        <f t="shared" si="13"/>
        <v>0.02</v>
      </c>
      <c r="F14" s="28">
        <f>3600*4</f>
        <v>14400</v>
      </c>
      <c r="G14">
        <f t="shared" si="23"/>
        <v>4</v>
      </c>
      <c r="H14" s="30">
        <f t="shared" si="15"/>
        <v>731999.99999999988</v>
      </c>
      <c r="I14" s="30">
        <f t="shared" si="20"/>
        <v>3456000000</v>
      </c>
      <c r="J14" s="78" t="s">
        <v>1468</v>
      </c>
      <c r="K14" s="76">
        <f t="shared" si="16"/>
        <v>2.1178312634240193E-4</v>
      </c>
      <c r="L14" s="57">
        <f t="shared" si="4"/>
        <v>2.1178312634240193E-4</v>
      </c>
      <c r="M14" s="30">
        <f t="shared" si="21"/>
        <v>7200000000</v>
      </c>
      <c r="N14" s="29">
        <v>400000</v>
      </c>
      <c r="O14" s="31">
        <f>O13*5</f>
        <v>18000</v>
      </c>
      <c r="P14" s="29">
        <v>328000000</v>
      </c>
      <c r="Q14" s="30">
        <f t="shared" si="17"/>
        <v>69464.865440307825</v>
      </c>
      <c r="R14" s="28">
        <f t="shared" si="22"/>
        <v>3.5000000000000003E-2</v>
      </c>
      <c r="S14" s="30">
        <f t="shared" si="18"/>
        <v>2431.2702904107741</v>
      </c>
      <c r="T14" s="30" t="s">
        <v>1479</v>
      </c>
      <c r="U14" t="s">
        <v>1478</v>
      </c>
    </row>
    <row r="15" spans="1:21" x14ac:dyDescent="0.25">
      <c r="A15" s="79">
        <v>12</v>
      </c>
      <c r="B15" s="88">
        <v>0.1</v>
      </c>
      <c r="C15" s="31">
        <f t="shared" si="24"/>
        <v>69.444444444444443</v>
      </c>
      <c r="D15" s="28">
        <v>366</v>
      </c>
      <c r="E15" s="77">
        <f t="shared" si="13"/>
        <v>0.02</v>
      </c>
      <c r="F15" s="28">
        <f>3600*4</f>
        <v>14400</v>
      </c>
      <c r="G15">
        <f t="shared" si="23"/>
        <v>4</v>
      </c>
      <c r="H15" s="30">
        <f t="shared" si="15"/>
        <v>7320000.0000000009</v>
      </c>
      <c r="I15" s="30">
        <f t="shared" si="20"/>
        <v>6912000000</v>
      </c>
      <c r="J15" s="78" t="s">
        <v>1468</v>
      </c>
      <c r="K15" s="76">
        <f t="shared" si="16"/>
        <v>1.0584672057653011E-3</v>
      </c>
      <c r="L15" s="57">
        <f t="shared" si="4"/>
        <v>1.0584672057653011E-3</v>
      </c>
      <c r="M15" s="30">
        <f t="shared" si="21"/>
        <v>14400000000</v>
      </c>
      <c r="N15" s="29">
        <f>100*1000*40</f>
        <v>4000000</v>
      </c>
      <c r="O15" s="48">
        <v>3600</v>
      </c>
      <c r="P15" s="29">
        <v>328000000</v>
      </c>
      <c r="Q15" s="30">
        <f t="shared" si="17"/>
        <v>347177.24349101877</v>
      </c>
      <c r="R15" s="28">
        <f t="shared" si="22"/>
        <v>3.5000000000000003E-2</v>
      </c>
      <c r="S15" s="30">
        <f t="shared" si="18"/>
        <v>12151.203522185659</v>
      </c>
      <c r="T15" s="30" t="s">
        <v>1477</v>
      </c>
      <c r="U15" t="s">
        <v>1481</v>
      </c>
    </row>
    <row r="16" spans="1:21" x14ac:dyDescent="0.25">
      <c r="A16" s="79">
        <v>12</v>
      </c>
      <c r="B16" s="88">
        <v>0.1</v>
      </c>
      <c r="C16" s="31">
        <f t="shared" si="24"/>
        <v>69.444444444444443</v>
      </c>
      <c r="D16" s="28">
        <v>366</v>
      </c>
      <c r="E16" s="77">
        <f t="shared" si="13"/>
        <v>0.02</v>
      </c>
      <c r="F16" s="28">
        <f>3600*4</f>
        <v>14400</v>
      </c>
      <c r="G16">
        <f t="shared" si="23"/>
        <v>4</v>
      </c>
      <c r="H16" s="30">
        <f t="shared" si="15"/>
        <v>7320000.0000000009</v>
      </c>
      <c r="I16" s="30">
        <f t="shared" si="20"/>
        <v>34560000000</v>
      </c>
      <c r="J16" s="78" t="s">
        <v>1468</v>
      </c>
      <c r="K16" s="76">
        <f t="shared" si="16"/>
        <v>2.1178312634240193E-4</v>
      </c>
      <c r="L16" s="57">
        <f t="shared" si="4"/>
        <v>2.1178312634240193E-4</v>
      </c>
      <c r="M16" s="30">
        <f t="shared" si="21"/>
        <v>72000000000</v>
      </c>
      <c r="N16" s="29">
        <f>100*1000*40</f>
        <v>4000000</v>
      </c>
      <c r="O16" s="31">
        <f>O15*5</f>
        <v>18000</v>
      </c>
      <c r="P16" s="29">
        <v>328000000</v>
      </c>
      <c r="Q16" s="30">
        <f t="shared" si="17"/>
        <v>69464.865440307825</v>
      </c>
      <c r="R16" s="28">
        <f t="shared" si="22"/>
        <v>3.5000000000000003E-2</v>
      </c>
      <c r="S16" s="30">
        <f t="shared" si="18"/>
        <v>2431.2702904107741</v>
      </c>
      <c r="T16" s="30" t="s">
        <v>1479</v>
      </c>
      <c r="U16" t="s">
        <v>1481</v>
      </c>
    </row>
    <row r="17" spans="1:21" x14ac:dyDescent="0.25">
      <c r="B17" s="88"/>
      <c r="E17" s="77"/>
      <c r="H17" s="30"/>
      <c r="I17" s="30"/>
      <c r="J17" s="30"/>
      <c r="K17" s="76"/>
      <c r="L17" s="76"/>
      <c r="M17" s="30"/>
      <c r="N17" s="29"/>
      <c r="O17" s="31"/>
      <c r="P17" s="29"/>
      <c r="Q17" s="30"/>
      <c r="S17" s="30"/>
      <c r="T17" s="30"/>
    </row>
    <row r="18" spans="1:21" x14ac:dyDescent="0.25">
      <c r="A18" s="79">
        <v>6</v>
      </c>
      <c r="B18" s="88">
        <v>0.5</v>
      </c>
      <c r="C18" s="31">
        <f>B18*(N18/12)/(A18*A18)</f>
        <v>12.5</v>
      </c>
      <c r="D18" s="28">
        <v>366</v>
      </c>
      <c r="E18" s="77">
        <f t="shared" ref="E18:E23" si="25">$J$47</f>
        <v>0.02</v>
      </c>
      <c r="F18" s="28">
        <f t="shared" ref="F18:F19" si="26">3600*4</f>
        <v>14400</v>
      </c>
      <c r="G18">
        <f>F18/3600</f>
        <v>4</v>
      </c>
      <c r="H18" s="30">
        <f t="shared" ref="H18:H23" si="27">C18*D18*E18*F18</f>
        <v>1317600</v>
      </c>
      <c r="I18" s="30">
        <f>M18*12*12*12/3600</f>
        <v>18662400</v>
      </c>
      <c r="J18" s="78" t="s">
        <v>1468</v>
      </c>
      <c r="K18" s="76">
        <f t="shared" ref="K18:K23" si="28">(1-EXP(-H18/I18))</f>
        <v>6.8167174206610781E-2</v>
      </c>
      <c r="L18" s="34">
        <f t="shared" ref="L18:L23" si="29">K18</f>
        <v>6.8167174206610781E-2</v>
      </c>
      <c r="M18" s="30">
        <f>N18*O18</f>
        <v>38880000</v>
      </c>
      <c r="N18" s="29">
        <v>10800</v>
      </c>
      <c r="O18" s="48">
        <v>3600</v>
      </c>
      <c r="P18" s="29">
        <v>328000000</v>
      </c>
      <c r="Q18" s="30">
        <f t="shared" ref="Q18:Q23" si="30">P18*(K18)</f>
        <v>22358833.139768336</v>
      </c>
      <c r="R18" s="28">
        <v>3.5000000000000003E-2</v>
      </c>
      <c r="S18" s="30">
        <f t="shared" ref="S18:S23" si="31">Q18*R18</f>
        <v>782559.15989189188</v>
      </c>
      <c r="T18" s="30" t="s">
        <v>1477</v>
      </c>
      <c r="U18" t="s">
        <v>1480</v>
      </c>
    </row>
    <row r="19" spans="1:21" x14ac:dyDescent="0.25">
      <c r="A19" s="79">
        <v>6</v>
      </c>
      <c r="B19" s="88">
        <v>0.5</v>
      </c>
      <c r="C19" s="31">
        <f t="shared" ref="C19" si="32">B19*(N19/12)/(A19*A19)</f>
        <v>12.5</v>
      </c>
      <c r="D19" s="28">
        <v>366</v>
      </c>
      <c r="E19" s="77">
        <f t="shared" si="25"/>
        <v>0.02</v>
      </c>
      <c r="F19" s="28">
        <f t="shared" si="26"/>
        <v>14400</v>
      </c>
      <c r="G19">
        <f>F19/3600</f>
        <v>4</v>
      </c>
      <c r="H19" s="30">
        <f t="shared" si="27"/>
        <v>1317600</v>
      </c>
      <c r="I19" s="30">
        <f t="shared" ref="I19:I23" si="33">M19*12*12*12/3600</f>
        <v>93312000</v>
      </c>
      <c r="J19" s="78" t="s">
        <v>1468</v>
      </c>
      <c r="K19" s="76">
        <f t="shared" si="28"/>
        <v>1.4021145520252465E-2</v>
      </c>
      <c r="L19" s="57">
        <f t="shared" si="29"/>
        <v>1.4021145520252465E-2</v>
      </c>
      <c r="M19" s="30">
        <f t="shared" ref="M19:M23" si="34">N19*O19</f>
        <v>194400000</v>
      </c>
      <c r="N19" s="29">
        <v>10800</v>
      </c>
      <c r="O19" s="31">
        <f>O18*5</f>
        <v>18000</v>
      </c>
      <c r="P19" s="29">
        <v>328000000</v>
      </c>
      <c r="Q19" s="30">
        <f t="shared" si="30"/>
        <v>4598935.7306428086</v>
      </c>
      <c r="R19" s="28">
        <f t="shared" ref="R19:R23" si="35">R18</f>
        <v>3.5000000000000003E-2</v>
      </c>
      <c r="S19" s="30">
        <f t="shared" si="31"/>
        <v>160962.75057249831</v>
      </c>
      <c r="T19" s="30" t="s">
        <v>1479</v>
      </c>
      <c r="U19" t="s">
        <v>1480</v>
      </c>
    </row>
    <row r="20" spans="1:21" x14ac:dyDescent="0.25">
      <c r="A20" s="79">
        <v>6</v>
      </c>
      <c r="B20" s="88">
        <v>0.5</v>
      </c>
      <c r="C20" s="31">
        <f>B20*(N20/40)/(A20*A20)</f>
        <v>138.88888888888889</v>
      </c>
      <c r="D20" s="28">
        <v>366</v>
      </c>
      <c r="E20" s="77">
        <f t="shared" si="25"/>
        <v>0.02</v>
      </c>
      <c r="F20" s="28">
        <f>3600*4</f>
        <v>14400</v>
      </c>
      <c r="G20">
        <f t="shared" ref="G20:G23" si="36">F20/3600</f>
        <v>4</v>
      </c>
      <c r="H20" s="30">
        <f t="shared" si="27"/>
        <v>14640000.000000002</v>
      </c>
      <c r="I20" s="30">
        <f t="shared" si="33"/>
        <v>691200000</v>
      </c>
      <c r="J20" s="78" t="s">
        <v>1468</v>
      </c>
      <c r="K20" s="76">
        <f t="shared" si="28"/>
        <v>2.0957822894239198E-2</v>
      </c>
      <c r="L20" s="57">
        <f t="shared" si="29"/>
        <v>2.0957822894239198E-2</v>
      </c>
      <c r="M20" s="30">
        <f t="shared" si="34"/>
        <v>1440000000</v>
      </c>
      <c r="N20" s="29">
        <v>400000</v>
      </c>
      <c r="O20" s="48">
        <v>3600</v>
      </c>
      <c r="P20" s="29">
        <v>328000000</v>
      </c>
      <c r="Q20" s="30">
        <f t="shared" si="30"/>
        <v>6874165.9093104564</v>
      </c>
      <c r="R20" s="28">
        <f t="shared" si="35"/>
        <v>3.5000000000000003E-2</v>
      </c>
      <c r="S20" s="30">
        <f t="shared" si="31"/>
        <v>240595.80682586599</v>
      </c>
      <c r="T20" s="30" t="s">
        <v>1477</v>
      </c>
      <c r="U20" t="s">
        <v>1478</v>
      </c>
    </row>
    <row r="21" spans="1:21" x14ac:dyDescent="0.25">
      <c r="A21" s="79">
        <v>6</v>
      </c>
      <c r="B21" s="88">
        <v>0.5</v>
      </c>
      <c r="C21" s="31">
        <f t="shared" ref="C21:C23" si="37">B21*(N21/40)/(A21*A21)</f>
        <v>138.88888888888889</v>
      </c>
      <c r="D21" s="28">
        <v>366</v>
      </c>
      <c r="E21" s="77">
        <f t="shared" si="25"/>
        <v>0.02</v>
      </c>
      <c r="F21" s="28">
        <f>3600*4</f>
        <v>14400</v>
      </c>
      <c r="G21">
        <f t="shared" si="36"/>
        <v>4</v>
      </c>
      <c r="H21" s="30">
        <f t="shared" si="27"/>
        <v>14640000.000000002</v>
      </c>
      <c r="I21" s="30">
        <f t="shared" si="33"/>
        <v>3456000000</v>
      </c>
      <c r="J21" s="78" t="s">
        <v>1468</v>
      </c>
      <c r="K21" s="76">
        <f t="shared" si="28"/>
        <v>4.2271514482787875E-3</v>
      </c>
      <c r="L21" s="57">
        <f t="shared" si="29"/>
        <v>4.2271514482787875E-3</v>
      </c>
      <c r="M21" s="30">
        <f t="shared" si="34"/>
        <v>7200000000</v>
      </c>
      <c r="N21" s="29">
        <v>400000</v>
      </c>
      <c r="O21" s="31">
        <f>O20*5</f>
        <v>18000</v>
      </c>
      <c r="P21" s="29">
        <v>328000000</v>
      </c>
      <c r="Q21" s="30">
        <f t="shared" si="30"/>
        <v>1386505.6750354422</v>
      </c>
      <c r="R21" s="28">
        <f t="shared" si="35"/>
        <v>3.5000000000000003E-2</v>
      </c>
      <c r="S21" s="30">
        <f t="shared" si="31"/>
        <v>48527.698626240483</v>
      </c>
      <c r="T21" s="30" t="s">
        <v>1479</v>
      </c>
      <c r="U21" t="s">
        <v>1478</v>
      </c>
    </row>
    <row r="22" spans="1:21" x14ac:dyDescent="0.25">
      <c r="A22" s="79">
        <v>6</v>
      </c>
      <c r="B22" s="88">
        <v>0.5</v>
      </c>
      <c r="C22" s="31">
        <f t="shared" si="37"/>
        <v>1388.8888888888889</v>
      </c>
      <c r="D22" s="28">
        <v>366</v>
      </c>
      <c r="E22" s="77">
        <f t="shared" si="25"/>
        <v>0.02</v>
      </c>
      <c r="F22" s="28">
        <f>3600*4</f>
        <v>14400</v>
      </c>
      <c r="G22">
        <f t="shared" si="36"/>
        <v>4</v>
      </c>
      <c r="H22" s="30">
        <f t="shared" si="27"/>
        <v>146400000</v>
      </c>
      <c r="I22" s="30">
        <f t="shared" si="33"/>
        <v>6912000000</v>
      </c>
      <c r="J22" s="78" t="s">
        <v>1468</v>
      </c>
      <c r="K22" s="76">
        <f t="shared" si="28"/>
        <v>2.0957822894239198E-2</v>
      </c>
      <c r="L22" s="57">
        <f t="shared" si="29"/>
        <v>2.0957822894239198E-2</v>
      </c>
      <c r="M22" s="30">
        <f t="shared" si="34"/>
        <v>14400000000</v>
      </c>
      <c r="N22" s="29">
        <f>100*1000*40</f>
        <v>4000000</v>
      </c>
      <c r="O22" s="48">
        <v>3600</v>
      </c>
      <c r="P22" s="29">
        <v>328000000</v>
      </c>
      <c r="Q22" s="30">
        <f t="shared" si="30"/>
        <v>6874165.9093104564</v>
      </c>
      <c r="R22" s="28">
        <f t="shared" si="35"/>
        <v>3.5000000000000003E-2</v>
      </c>
      <c r="S22" s="30">
        <f t="shared" si="31"/>
        <v>240595.80682586599</v>
      </c>
      <c r="T22" s="30" t="s">
        <v>1477</v>
      </c>
      <c r="U22" t="s">
        <v>1481</v>
      </c>
    </row>
    <row r="23" spans="1:21" x14ac:dyDescent="0.25">
      <c r="A23" s="79">
        <v>6</v>
      </c>
      <c r="B23" s="88">
        <v>0.5</v>
      </c>
      <c r="C23" s="31">
        <f t="shared" si="37"/>
        <v>1388.8888888888889</v>
      </c>
      <c r="D23" s="28">
        <v>366</v>
      </c>
      <c r="E23" s="77">
        <f t="shared" si="25"/>
        <v>0.02</v>
      </c>
      <c r="F23" s="28">
        <f>3600*4</f>
        <v>14400</v>
      </c>
      <c r="G23">
        <f t="shared" si="36"/>
        <v>4</v>
      </c>
      <c r="H23" s="30">
        <f t="shared" si="27"/>
        <v>146400000</v>
      </c>
      <c r="I23" s="30">
        <f t="shared" si="33"/>
        <v>34560000000</v>
      </c>
      <c r="J23" s="78" t="s">
        <v>1468</v>
      </c>
      <c r="K23" s="76">
        <f t="shared" si="28"/>
        <v>4.2271514482787875E-3</v>
      </c>
      <c r="L23" s="57">
        <f t="shared" si="29"/>
        <v>4.2271514482787875E-3</v>
      </c>
      <c r="M23" s="30">
        <f t="shared" si="34"/>
        <v>72000000000</v>
      </c>
      <c r="N23" s="29">
        <f>100*1000*40</f>
        <v>4000000</v>
      </c>
      <c r="O23" s="31">
        <f>O22*5</f>
        <v>18000</v>
      </c>
      <c r="P23" s="29">
        <v>328000000</v>
      </c>
      <c r="Q23" s="30">
        <f t="shared" si="30"/>
        <v>1386505.6750354422</v>
      </c>
      <c r="R23" s="28">
        <f t="shared" si="35"/>
        <v>3.5000000000000003E-2</v>
      </c>
      <c r="S23" s="30">
        <f t="shared" si="31"/>
        <v>48527.698626240483</v>
      </c>
      <c r="T23" s="30" t="s">
        <v>1479</v>
      </c>
      <c r="U23" t="s">
        <v>1481</v>
      </c>
    </row>
    <row r="24" spans="1:21" x14ac:dyDescent="0.25">
      <c r="B24" s="88"/>
      <c r="E24" s="77"/>
      <c r="H24" s="30"/>
      <c r="I24" s="29"/>
      <c r="J24" s="30"/>
      <c r="K24" s="76"/>
      <c r="L24" s="76"/>
      <c r="M24" s="30"/>
      <c r="N24" s="29"/>
      <c r="O24" s="31"/>
      <c r="P24" s="29"/>
      <c r="Q24" s="30"/>
      <c r="S24" s="30"/>
      <c r="T24" s="30"/>
    </row>
    <row r="25" spans="1:21" x14ac:dyDescent="0.25">
      <c r="A25" s="79">
        <v>12</v>
      </c>
      <c r="B25" s="88">
        <v>0.5</v>
      </c>
      <c r="C25" s="31">
        <f>B25*(N25/12)/(A25*A25)</f>
        <v>3.125</v>
      </c>
      <c r="D25" s="28">
        <v>366</v>
      </c>
      <c r="E25" s="77">
        <f t="shared" ref="E25:E30" si="38">$J$47</f>
        <v>0.02</v>
      </c>
      <c r="F25" s="28">
        <f t="shared" ref="F25:F26" si="39">3600*4</f>
        <v>14400</v>
      </c>
      <c r="G25">
        <f>F25/3600</f>
        <v>4</v>
      </c>
      <c r="H25" s="30">
        <f t="shared" ref="H25:H30" si="40">C25*D25*E25*F25</f>
        <v>329400</v>
      </c>
      <c r="I25" s="30">
        <f>M25*12*12*12/3600</f>
        <v>18662400</v>
      </c>
      <c r="J25" s="78" t="s">
        <v>1468</v>
      </c>
      <c r="K25" s="76">
        <f t="shared" ref="K25:K30" si="41">(1-EXP(-H25/I25))</f>
        <v>1.7495605979242379E-2</v>
      </c>
      <c r="L25" s="57">
        <f t="shared" ref="L25:L30" si="42">K25</f>
        <v>1.7495605979242379E-2</v>
      </c>
      <c r="M25" s="30">
        <f>N25*O25</f>
        <v>38880000</v>
      </c>
      <c r="N25" s="29">
        <v>10800</v>
      </c>
      <c r="O25" s="48">
        <v>3600</v>
      </c>
      <c r="P25" s="29">
        <v>328000000</v>
      </c>
      <c r="Q25" s="30">
        <f t="shared" ref="Q25:Q30" si="43">P25*(K25)</f>
        <v>5738558.7611915004</v>
      </c>
      <c r="R25" s="28">
        <v>3.5000000000000003E-2</v>
      </c>
      <c r="S25" s="30">
        <f t="shared" ref="S25:S30" si="44">Q25*R25</f>
        <v>200849.55664170254</v>
      </c>
      <c r="T25" s="30" t="s">
        <v>1477</v>
      </c>
      <c r="U25" t="s">
        <v>1480</v>
      </c>
    </row>
    <row r="26" spans="1:21" x14ac:dyDescent="0.25">
      <c r="A26" s="79">
        <v>12</v>
      </c>
      <c r="B26" s="88">
        <v>0.5</v>
      </c>
      <c r="C26" s="31">
        <f t="shared" ref="C26" si="45">B26*(N26/12)/(A26*A26)</f>
        <v>3.125</v>
      </c>
      <c r="D26" s="28">
        <v>366</v>
      </c>
      <c r="E26" s="77">
        <f t="shared" si="38"/>
        <v>0.02</v>
      </c>
      <c r="F26" s="28">
        <f t="shared" si="39"/>
        <v>14400</v>
      </c>
      <c r="G26">
        <f>F26/3600</f>
        <v>4</v>
      </c>
      <c r="H26" s="30">
        <f t="shared" si="40"/>
        <v>329400</v>
      </c>
      <c r="I26" s="30">
        <f t="shared" ref="I26:I30" si="46">M26*12*12*12/3600</f>
        <v>93312000</v>
      </c>
      <c r="J26" s="78" t="s">
        <v>1468</v>
      </c>
      <c r="K26" s="76">
        <f t="shared" si="41"/>
        <v>3.5238691410103273E-3</v>
      </c>
      <c r="L26" s="57">
        <f t="shared" si="42"/>
        <v>3.5238691410103273E-3</v>
      </c>
      <c r="M26" s="30">
        <f t="shared" ref="M26:M30" si="47">N26*O26</f>
        <v>194400000</v>
      </c>
      <c r="N26" s="29">
        <v>10800</v>
      </c>
      <c r="O26" s="31">
        <f>O25*5</f>
        <v>18000</v>
      </c>
      <c r="P26" s="29">
        <v>328000000</v>
      </c>
      <c r="Q26" s="30">
        <f t="shared" si="43"/>
        <v>1155829.0782513875</v>
      </c>
      <c r="R26" s="28">
        <f t="shared" ref="R26:R30" si="48">R25</f>
        <v>3.5000000000000003E-2</v>
      </c>
      <c r="S26" s="30">
        <f t="shared" si="44"/>
        <v>40454.017738798568</v>
      </c>
      <c r="T26" s="30" t="s">
        <v>1479</v>
      </c>
      <c r="U26" t="s">
        <v>1480</v>
      </c>
    </row>
    <row r="27" spans="1:21" x14ac:dyDescent="0.25">
      <c r="A27" s="79">
        <v>12</v>
      </c>
      <c r="B27" s="88">
        <v>0.5</v>
      </c>
      <c r="C27" s="31">
        <f>B27*(N27/40)/(A27*A27)</f>
        <v>34.722222222222221</v>
      </c>
      <c r="D27" s="28">
        <v>366</v>
      </c>
      <c r="E27" s="77">
        <f t="shared" si="38"/>
        <v>0.02</v>
      </c>
      <c r="F27" s="28">
        <f>3600*4</f>
        <v>14400</v>
      </c>
      <c r="G27">
        <f t="shared" ref="G27:G30" si="49">F27/3600</f>
        <v>4</v>
      </c>
      <c r="H27" s="30">
        <f t="shared" si="40"/>
        <v>3660000.0000000005</v>
      </c>
      <c r="I27" s="30">
        <f t="shared" si="46"/>
        <v>691200000</v>
      </c>
      <c r="J27" s="78" t="s">
        <v>1468</v>
      </c>
      <c r="K27" s="76">
        <f t="shared" si="41"/>
        <v>5.2811443528623103E-3</v>
      </c>
      <c r="L27" s="57">
        <f t="shared" si="42"/>
        <v>5.2811443528623103E-3</v>
      </c>
      <c r="M27" s="30">
        <f t="shared" si="47"/>
        <v>1440000000</v>
      </c>
      <c r="N27" s="29">
        <v>400000</v>
      </c>
      <c r="O27" s="48">
        <v>3600</v>
      </c>
      <c r="P27" s="29">
        <v>328000000</v>
      </c>
      <c r="Q27" s="30">
        <f t="shared" si="43"/>
        <v>1732215.3477388378</v>
      </c>
      <c r="R27" s="28">
        <f t="shared" si="48"/>
        <v>3.5000000000000003E-2</v>
      </c>
      <c r="S27" s="30">
        <f t="shared" si="44"/>
        <v>60627.53717085933</v>
      </c>
      <c r="T27" s="30" t="s">
        <v>1477</v>
      </c>
      <c r="U27" t="s">
        <v>1478</v>
      </c>
    </row>
    <row r="28" spans="1:21" x14ac:dyDescent="0.25">
      <c r="A28" s="79">
        <v>12</v>
      </c>
      <c r="B28" s="88">
        <v>0.5</v>
      </c>
      <c r="C28" s="31">
        <f t="shared" ref="C28:C30" si="50">B28*(N28/40)/(A28*A28)</f>
        <v>34.722222222222221</v>
      </c>
      <c r="D28" s="28">
        <v>366</v>
      </c>
      <c r="E28" s="77">
        <f t="shared" si="38"/>
        <v>0.02</v>
      </c>
      <c r="F28" s="28">
        <f>3600*4</f>
        <v>14400</v>
      </c>
      <c r="G28">
        <f t="shared" si="49"/>
        <v>4</v>
      </c>
      <c r="H28" s="30">
        <f t="shared" si="40"/>
        <v>3660000.0000000005</v>
      </c>
      <c r="I28" s="30">
        <f t="shared" si="46"/>
        <v>3456000000</v>
      </c>
      <c r="J28" s="78" t="s">
        <v>1468</v>
      </c>
      <c r="K28" s="76">
        <f t="shared" si="41"/>
        <v>1.0584672057653011E-3</v>
      </c>
      <c r="L28" s="57">
        <f t="shared" si="42"/>
        <v>1.0584672057653011E-3</v>
      </c>
      <c r="M28" s="30">
        <f t="shared" si="47"/>
        <v>7200000000</v>
      </c>
      <c r="N28" s="29">
        <v>400000</v>
      </c>
      <c r="O28" s="31">
        <f>O27*5</f>
        <v>18000</v>
      </c>
      <c r="P28" s="29">
        <v>328000000</v>
      </c>
      <c r="Q28" s="30">
        <f t="shared" si="43"/>
        <v>347177.24349101877</v>
      </c>
      <c r="R28" s="28">
        <f t="shared" si="48"/>
        <v>3.5000000000000003E-2</v>
      </c>
      <c r="S28" s="30">
        <f t="shared" si="44"/>
        <v>12151.203522185659</v>
      </c>
      <c r="T28" s="30" t="s">
        <v>1479</v>
      </c>
      <c r="U28" t="s">
        <v>1478</v>
      </c>
    </row>
    <row r="29" spans="1:21" x14ac:dyDescent="0.25">
      <c r="A29" s="79">
        <v>12</v>
      </c>
      <c r="B29" s="88">
        <v>0.5</v>
      </c>
      <c r="C29" s="31">
        <f t="shared" si="50"/>
        <v>347.22222222222223</v>
      </c>
      <c r="D29" s="28">
        <v>366</v>
      </c>
      <c r="E29" s="77">
        <f t="shared" si="38"/>
        <v>0.02</v>
      </c>
      <c r="F29" s="28">
        <f>3600*4</f>
        <v>14400</v>
      </c>
      <c r="G29">
        <f t="shared" si="49"/>
        <v>4</v>
      </c>
      <c r="H29" s="30">
        <f t="shared" si="40"/>
        <v>36600000</v>
      </c>
      <c r="I29" s="30">
        <f t="shared" si="46"/>
        <v>6912000000</v>
      </c>
      <c r="J29" s="78" t="s">
        <v>1468</v>
      </c>
      <c r="K29" s="76">
        <f t="shared" si="41"/>
        <v>5.2811443528623103E-3</v>
      </c>
      <c r="L29" s="57">
        <f t="shared" si="42"/>
        <v>5.2811443528623103E-3</v>
      </c>
      <c r="M29" s="30">
        <f t="shared" si="47"/>
        <v>14400000000</v>
      </c>
      <c r="N29" s="29">
        <f>100*1000*40</f>
        <v>4000000</v>
      </c>
      <c r="O29" s="48">
        <v>3600</v>
      </c>
      <c r="P29" s="29">
        <v>328000000</v>
      </c>
      <c r="Q29" s="30">
        <f t="shared" si="43"/>
        <v>1732215.3477388378</v>
      </c>
      <c r="R29" s="28">
        <f t="shared" si="48"/>
        <v>3.5000000000000003E-2</v>
      </c>
      <c r="S29" s="30">
        <f t="shared" si="44"/>
        <v>60627.53717085933</v>
      </c>
      <c r="T29" s="30" t="s">
        <v>1477</v>
      </c>
      <c r="U29" t="s">
        <v>1481</v>
      </c>
    </row>
    <row r="30" spans="1:21" x14ac:dyDescent="0.25">
      <c r="A30" s="79">
        <v>12</v>
      </c>
      <c r="B30" s="88">
        <v>0.5</v>
      </c>
      <c r="C30" s="31">
        <f t="shared" si="50"/>
        <v>347.22222222222223</v>
      </c>
      <c r="D30" s="28">
        <v>366</v>
      </c>
      <c r="E30" s="77">
        <f t="shared" si="38"/>
        <v>0.02</v>
      </c>
      <c r="F30" s="28">
        <f>3600*4</f>
        <v>14400</v>
      </c>
      <c r="G30">
        <f t="shared" si="49"/>
        <v>4</v>
      </c>
      <c r="H30" s="30">
        <f t="shared" si="40"/>
        <v>36600000</v>
      </c>
      <c r="I30" s="30">
        <f t="shared" si="46"/>
        <v>34560000000</v>
      </c>
      <c r="J30" s="78" t="s">
        <v>1468</v>
      </c>
      <c r="K30" s="76">
        <f t="shared" si="41"/>
        <v>1.0584672057653011E-3</v>
      </c>
      <c r="L30" s="57">
        <f t="shared" si="42"/>
        <v>1.0584672057653011E-3</v>
      </c>
      <c r="M30" s="30">
        <f t="shared" si="47"/>
        <v>72000000000</v>
      </c>
      <c r="N30" s="29">
        <f>100*1000*40</f>
        <v>4000000</v>
      </c>
      <c r="O30" s="31">
        <f>O29*5</f>
        <v>18000</v>
      </c>
      <c r="P30" s="29">
        <v>328000000</v>
      </c>
      <c r="Q30" s="30">
        <f t="shared" si="43"/>
        <v>347177.24349101877</v>
      </c>
      <c r="R30" s="28">
        <f t="shared" si="48"/>
        <v>3.5000000000000003E-2</v>
      </c>
      <c r="S30" s="30">
        <f t="shared" si="44"/>
        <v>12151.203522185659</v>
      </c>
      <c r="T30" s="30" t="s">
        <v>1479</v>
      </c>
      <c r="U30" t="s">
        <v>1481</v>
      </c>
    </row>
    <row r="31" spans="1:21" x14ac:dyDescent="0.25">
      <c r="B31" s="88"/>
      <c r="E31" s="77"/>
      <c r="H31" s="30"/>
      <c r="I31" s="30"/>
      <c r="J31" s="30"/>
      <c r="K31" s="76"/>
      <c r="L31" s="76"/>
      <c r="M31" s="30"/>
      <c r="N31" s="29"/>
      <c r="O31" s="31"/>
      <c r="P31" s="29"/>
      <c r="Q31" s="30"/>
      <c r="S31" s="30"/>
      <c r="T31" s="30"/>
    </row>
    <row r="32" spans="1:21" x14ac:dyDescent="0.25">
      <c r="A32" s="79">
        <v>6</v>
      </c>
      <c r="B32" s="88">
        <v>1</v>
      </c>
      <c r="C32" s="31">
        <f>B32*(N32/12)/(A32*A32)</f>
        <v>25</v>
      </c>
      <c r="D32" s="28">
        <v>366</v>
      </c>
      <c r="E32" s="77">
        <f t="shared" ref="E32:E37" si="51">$J$47</f>
        <v>0.02</v>
      </c>
      <c r="F32" s="28">
        <f t="shared" ref="F32:F33" si="52">3600*4</f>
        <v>14400</v>
      </c>
      <c r="G32">
        <f>F32/3600</f>
        <v>4</v>
      </c>
      <c r="H32" s="30">
        <f t="shared" ref="H32:H37" si="53">C32*D32*E32*F32</f>
        <v>2635200</v>
      </c>
      <c r="I32" s="30">
        <f>M32*12*12*12/3600</f>
        <v>18662400</v>
      </c>
      <c r="J32" s="78" t="s">
        <v>1468</v>
      </c>
      <c r="K32" s="76">
        <f t="shared" ref="K32:K37" si="54">(1-EXP(-H32/I32))</f>
        <v>0.13168758477390707</v>
      </c>
      <c r="L32" s="34">
        <f t="shared" ref="L32:L37" si="55">K32</f>
        <v>0.13168758477390707</v>
      </c>
      <c r="M32" s="30">
        <f>N32*O32</f>
        <v>38880000</v>
      </c>
      <c r="N32" s="29">
        <v>10800</v>
      </c>
      <c r="O32" s="48">
        <v>3600</v>
      </c>
      <c r="P32" s="29">
        <v>328000000</v>
      </c>
      <c r="Q32" s="30">
        <f t="shared" ref="Q32:Q37" si="56">P32*(K32)</f>
        <v>43193527.80584152</v>
      </c>
      <c r="R32" s="28">
        <v>3.5000000000000003E-2</v>
      </c>
      <c r="S32" s="30">
        <f t="shared" ref="S32:S37" si="57">Q32*R32</f>
        <v>1511773.4732044532</v>
      </c>
      <c r="T32" s="30" t="s">
        <v>1477</v>
      </c>
      <c r="U32" t="s">
        <v>1480</v>
      </c>
    </row>
    <row r="33" spans="1:21" x14ac:dyDescent="0.25">
      <c r="A33" s="79">
        <v>6</v>
      </c>
      <c r="B33" s="88">
        <v>1</v>
      </c>
      <c r="C33" s="31">
        <f t="shared" ref="C33" si="58">B33*(N33/12)/(A33*A33)</f>
        <v>25</v>
      </c>
      <c r="D33" s="28">
        <v>366</v>
      </c>
      <c r="E33" s="77">
        <f t="shared" si="51"/>
        <v>0.02</v>
      </c>
      <c r="F33" s="28">
        <f t="shared" si="52"/>
        <v>14400</v>
      </c>
      <c r="G33">
        <f>F33/3600</f>
        <v>4</v>
      </c>
      <c r="H33" s="30">
        <f t="shared" si="53"/>
        <v>2635200</v>
      </c>
      <c r="I33" s="30">
        <f t="shared" ref="I33:I37" si="59">M33*12*12*12/3600</f>
        <v>93312000</v>
      </c>
      <c r="J33" s="78" t="s">
        <v>1468</v>
      </c>
      <c r="K33" s="76">
        <f t="shared" si="54"/>
        <v>2.7845698518804807E-2</v>
      </c>
      <c r="L33" s="57">
        <f t="shared" si="55"/>
        <v>2.7845698518804807E-2</v>
      </c>
      <c r="M33" s="30">
        <f t="shared" ref="M33:M37" si="60">N33*O33</f>
        <v>194400000</v>
      </c>
      <c r="N33" s="29">
        <v>10800</v>
      </c>
      <c r="O33" s="31">
        <f>O32*5</f>
        <v>18000</v>
      </c>
      <c r="P33" s="29">
        <v>328000000</v>
      </c>
      <c r="Q33" s="30">
        <f t="shared" si="56"/>
        <v>9133389.1141679771</v>
      </c>
      <c r="R33" s="28">
        <f t="shared" ref="R33:R37" si="61">R32</f>
        <v>3.5000000000000003E-2</v>
      </c>
      <c r="S33" s="30">
        <f t="shared" si="57"/>
        <v>319668.61899587925</v>
      </c>
      <c r="T33" s="30" t="s">
        <v>1479</v>
      </c>
      <c r="U33" t="s">
        <v>1480</v>
      </c>
    </row>
    <row r="34" spans="1:21" x14ac:dyDescent="0.25">
      <c r="A34" s="79">
        <v>6</v>
      </c>
      <c r="B34" s="88">
        <v>1</v>
      </c>
      <c r="C34" s="31">
        <f>B34*(N34/40)/(A34*A34)</f>
        <v>277.77777777777777</v>
      </c>
      <c r="D34" s="28">
        <v>366</v>
      </c>
      <c r="E34" s="77">
        <f t="shared" si="51"/>
        <v>0.02</v>
      </c>
      <c r="F34" s="28">
        <f>3600*4</f>
        <v>14400</v>
      </c>
      <c r="G34">
        <f t="shared" ref="G34:G37" si="62">F34/3600</f>
        <v>4</v>
      </c>
      <c r="H34" s="30">
        <f t="shared" si="53"/>
        <v>29280000.000000004</v>
      </c>
      <c r="I34" s="30">
        <f t="shared" si="59"/>
        <v>691200000</v>
      </c>
      <c r="J34" s="78" t="s">
        <v>1468</v>
      </c>
      <c r="K34" s="76">
        <f t="shared" si="54"/>
        <v>4.147641544801195E-2</v>
      </c>
      <c r="L34" s="57">
        <f t="shared" si="55"/>
        <v>4.147641544801195E-2</v>
      </c>
      <c r="M34" s="30">
        <f t="shared" si="60"/>
        <v>1440000000</v>
      </c>
      <c r="N34" s="29">
        <v>400000</v>
      </c>
      <c r="O34" s="48">
        <v>3600</v>
      </c>
      <c r="P34" s="29">
        <v>328000000</v>
      </c>
      <c r="Q34" s="30">
        <f t="shared" si="56"/>
        <v>13604264.26694792</v>
      </c>
      <c r="R34" s="28">
        <f t="shared" si="61"/>
        <v>3.5000000000000003E-2</v>
      </c>
      <c r="S34" s="30">
        <f t="shared" si="57"/>
        <v>476149.24934317725</v>
      </c>
      <c r="T34" s="30" t="s">
        <v>1477</v>
      </c>
      <c r="U34" t="s">
        <v>1478</v>
      </c>
    </row>
    <row r="35" spans="1:21" x14ac:dyDescent="0.25">
      <c r="A35" s="79">
        <v>6</v>
      </c>
      <c r="B35" s="88">
        <v>1</v>
      </c>
      <c r="C35" s="31">
        <f t="shared" ref="C35:C37" si="63">B35*(N35/40)/(A35*A35)</f>
        <v>277.77777777777777</v>
      </c>
      <c r="D35" s="28">
        <v>366</v>
      </c>
      <c r="E35" s="77">
        <f t="shared" si="51"/>
        <v>0.02</v>
      </c>
      <c r="F35" s="28">
        <f>3600*4</f>
        <v>14400</v>
      </c>
      <c r="G35">
        <f t="shared" si="62"/>
        <v>4</v>
      </c>
      <c r="H35" s="30">
        <f t="shared" si="53"/>
        <v>29280000.000000004</v>
      </c>
      <c r="I35" s="30">
        <f t="shared" si="59"/>
        <v>3456000000</v>
      </c>
      <c r="J35" s="78" t="s">
        <v>1468</v>
      </c>
      <c r="K35" s="76">
        <f t="shared" si="54"/>
        <v>8.4364340871909693E-3</v>
      </c>
      <c r="L35" s="57">
        <f t="shared" si="55"/>
        <v>8.4364340871909693E-3</v>
      </c>
      <c r="M35" s="30">
        <f t="shared" si="60"/>
        <v>7200000000</v>
      </c>
      <c r="N35" s="29">
        <v>400000</v>
      </c>
      <c r="O35" s="31">
        <f>O34*5</f>
        <v>18000</v>
      </c>
      <c r="P35" s="29">
        <v>328000000</v>
      </c>
      <c r="Q35" s="30">
        <f t="shared" si="56"/>
        <v>2767150.3805986377</v>
      </c>
      <c r="R35" s="28">
        <f t="shared" si="61"/>
        <v>3.5000000000000003E-2</v>
      </c>
      <c r="S35" s="30">
        <f t="shared" si="57"/>
        <v>96850.263320952334</v>
      </c>
      <c r="T35" s="30" t="s">
        <v>1479</v>
      </c>
      <c r="U35" t="s">
        <v>1478</v>
      </c>
    </row>
    <row r="36" spans="1:21" x14ac:dyDescent="0.25">
      <c r="A36" s="79">
        <v>6</v>
      </c>
      <c r="B36" s="88">
        <v>1</v>
      </c>
      <c r="C36" s="31">
        <f t="shared" si="63"/>
        <v>2777.7777777777778</v>
      </c>
      <c r="D36" s="28">
        <v>366</v>
      </c>
      <c r="E36" s="77">
        <f t="shared" si="51"/>
        <v>0.02</v>
      </c>
      <c r="F36" s="28">
        <f>3600*4</f>
        <v>14400</v>
      </c>
      <c r="G36">
        <f t="shared" si="62"/>
        <v>4</v>
      </c>
      <c r="H36" s="30">
        <f t="shared" si="53"/>
        <v>292800000</v>
      </c>
      <c r="I36" s="30">
        <f t="shared" si="59"/>
        <v>6912000000</v>
      </c>
      <c r="J36" s="78" t="s">
        <v>1468</v>
      </c>
      <c r="K36" s="76">
        <f t="shared" si="54"/>
        <v>4.147641544801195E-2</v>
      </c>
      <c r="L36" s="57">
        <f t="shared" si="55"/>
        <v>4.147641544801195E-2</v>
      </c>
      <c r="M36" s="30">
        <f t="shared" si="60"/>
        <v>14400000000</v>
      </c>
      <c r="N36" s="29">
        <f>100*1000*40</f>
        <v>4000000</v>
      </c>
      <c r="O36" s="48">
        <v>3600</v>
      </c>
      <c r="P36" s="29">
        <v>328000000</v>
      </c>
      <c r="Q36" s="30">
        <f t="shared" si="56"/>
        <v>13604264.26694792</v>
      </c>
      <c r="R36" s="28">
        <f t="shared" si="61"/>
        <v>3.5000000000000003E-2</v>
      </c>
      <c r="S36" s="30">
        <f t="shared" si="57"/>
        <v>476149.24934317725</v>
      </c>
      <c r="T36" s="30" t="s">
        <v>1477</v>
      </c>
      <c r="U36" t="s">
        <v>1481</v>
      </c>
    </row>
    <row r="37" spans="1:21" x14ac:dyDescent="0.25">
      <c r="A37" s="79">
        <v>6</v>
      </c>
      <c r="B37" s="88">
        <v>1</v>
      </c>
      <c r="C37" s="31">
        <f t="shared" si="63"/>
        <v>2777.7777777777778</v>
      </c>
      <c r="D37" s="28">
        <v>366</v>
      </c>
      <c r="E37" s="77">
        <f t="shared" si="51"/>
        <v>0.02</v>
      </c>
      <c r="F37" s="28">
        <f>3600*4</f>
        <v>14400</v>
      </c>
      <c r="G37">
        <f t="shared" si="62"/>
        <v>4</v>
      </c>
      <c r="H37" s="30">
        <f t="shared" si="53"/>
        <v>292800000</v>
      </c>
      <c r="I37" s="30">
        <f t="shared" si="59"/>
        <v>34560000000</v>
      </c>
      <c r="J37" s="78" t="s">
        <v>1468</v>
      </c>
      <c r="K37" s="76">
        <f t="shared" si="54"/>
        <v>8.4364340871909693E-3</v>
      </c>
      <c r="L37" s="57">
        <f t="shared" si="55"/>
        <v>8.4364340871909693E-3</v>
      </c>
      <c r="M37" s="30">
        <f t="shared" si="60"/>
        <v>72000000000</v>
      </c>
      <c r="N37" s="29">
        <f>100*1000*40</f>
        <v>4000000</v>
      </c>
      <c r="O37" s="31">
        <f>O36*5</f>
        <v>18000</v>
      </c>
      <c r="P37" s="29">
        <v>328000000</v>
      </c>
      <c r="Q37" s="30">
        <f t="shared" si="56"/>
        <v>2767150.3805986377</v>
      </c>
      <c r="R37" s="28">
        <f t="shared" si="61"/>
        <v>3.5000000000000003E-2</v>
      </c>
      <c r="S37" s="30">
        <f t="shared" si="57"/>
        <v>96850.263320952334</v>
      </c>
      <c r="T37" s="30" t="s">
        <v>1479</v>
      </c>
      <c r="U37" t="s">
        <v>1481</v>
      </c>
    </row>
    <row r="38" spans="1:21" x14ac:dyDescent="0.25">
      <c r="B38" s="88"/>
      <c r="E38" s="77"/>
      <c r="H38" s="30"/>
      <c r="I38" s="29"/>
      <c r="J38" s="30"/>
      <c r="K38" s="76"/>
      <c r="L38" s="76"/>
      <c r="M38" s="30"/>
      <c r="N38" s="29"/>
      <c r="O38" s="31"/>
      <c r="P38" s="29"/>
      <c r="Q38" s="30"/>
      <c r="S38" s="30"/>
      <c r="T38" s="30"/>
    </row>
    <row r="39" spans="1:21" x14ac:dyDescent="0.25">
      <c r="A39" s="79">
        <v>12</v>
      </c>
      <c r="B39" s="88">
        <v>1</v>
      </c>
      <c r="C39" s="31">
        <f>B39*(N39/12)/(A39*A39)</f>
        <v>6.25</v>
      </c>
      <c r="D39" s="28">
        <v>366</v>
      </c>
      <c r="E39" s="77">
        <f t="shared" ref="E39:E44" si="64">$J$47</f>
        <v>0.02</v>
      </c>
      <c r="F39" s="28">
        <f t="shared" ref="F39:F40" si="65">3600*4</f>
        <v>14400</v>
      </c>
      <c r="G39">
        <f>F39/3600</f>
        <v>4</v>
      </c>
      <c r="H39" s="30">
        <f t="shared" ref="H39:H44" si="66">C39*D39*E39*F39</f>
        <v>658800</v>
      </c>
      <c r="I39" s="30">
        <f>M39*12*12*12/3600</f>
        <v>18662400</v>
      </c>
      <c r="J39" s="78" t="s">
        <v>1468</v>
      </c>
      <c r="K39" s="76">
        <f t="shared" ref="K39:K44" si="67">(1-EXP(-H39/I39))</f>
        <v>3.4685115729903737E-2</v>
      </c>
      <c r="L39" s="57">
        <f t="shared" ref="L39:L44" si="68">K39</f>
        <v>3.4685115729903737E-2</v>
      </c>
      <c r="M39" s="30">
        <f>N39*O39</f>
        <v>38880000</v>
      </c>
      <c r="N39" s="29">
        <v>10800</v>
      </c>
      <c r="O39" s="48">
        <v>3600</v>
      </c>
      <c r="P39" s="29">
        <v>328000000</v>
      </c>
      <c r="Q39" s="30">
        <f t="shared" ref="Q39:Q44" si="69">P39*(K39)</f>
        <v>11376717.959408427</v>
      </c>
      <c r="R39" s="28">
        <v>3.5000000000000003E-2</v>
      </c>
      <c r="S39" s="30">
        <f t="shared" ref="S39:S44" si="70">Q39*R39</f>
        <v>398185.12857929495</v>
      </c>
      <c r="T39" s="30" t="s">
        <v>1477</v>
      </c>
      <c r="U39" t="s">
        <v>1480</v>
      </c>
    </row>
    <row r="40" spans="1:21" x14ac:dyDescent="0.25">
      <c r="A40" s="79">
        <v>12</v>
      </c>
      <c r="B40" s="88">
        <v>1</v>
      </c>
      <c r="C40" s="31">
        <f t="shared" ref="C40" si="71">B40*(N40/12)/(A40*A40)</f>
        <v>6.25</v>
      </c>
      <c r="D40" s="28">
        <v>366</v>
      </c>
      <c r="E40" s="77">
        <f t="shared" si="64"/>
        <v>0.02</v>
      </c>
      <c r="F40" s="28">
        <f t="shared" si="65"/>
        <v>14400</v>
      </c>
      <c r="G40">
        <f>F40/3600</f>
        <v>4</v>
      </c>
      <c r="H40" s="30">
        <f t="shared" si="66"/>
        <v>658800</v>
      </c>
      <c r="I40" s="30">
        <f t="shared" ref="I40:I44" si="72">M40*12*12*12/3600</f>
        <v>93312000</v>
      </c>
      <c r="J40" s="78" t="s">
        <v>1468</v>
      </c>
      <c r="K40" s="76">
        <f t="shared" si="67"/>
        <v>7.0353206282977032E-3</v>
      </c>
      <c r="L40" s="57">
        <f t="shared" si="68"/>
        <v>7.0353206282977032E-3</v>
      </c>
      <c r="M40" s="30">
        <f t="shared" ref="M40:M44" si="73">N40*O40</f>
        <v>194400000</v>
      </c>
      <c r="N40" s="29">
        <v>10800</v>
      </c>
      <c r="O40" s="31">
        <f>O39*5</f>
        <v>18000</v>
      </c>
      <c r="P40" s="29">
        <v>328000000</v>
      </c>
      <c r="Q40" s="30">
        <f t="shared" si="69"/>
        <v>2307585.1660816465</v>
      </c>
      <c r="R40" s="28">
        <f t="shared" ref="R40:R44" si="74">R39</f>
        <v>3.5000000000000003E-2</v>
      </c>
      <c r="S40" s="30">
        <f t="shared" si="70"/>
        <v>80765.480812857641</v>
      </c>
      <c r="T40" s="30" t="s">
        <v>1479</v>
      </c>
      <c r="U40" t="s">
        <v>1480</v>
      </c>
    </row>
    <row r="41" spans="1:21" x14ac:dyDescent="0.25">
      <c r="A41" s="79">
        <v>12</v>
      </c>
      <c r="B41" s="88">
        <v>1</v>
      </c>
      <c r="C41" s="31">
        <f>B41*(N41/40)/(A41*A41)</f>
        <v>69.444444444444443</v>
      </c>
      <c r="D41" s="28">
        <v>366</v>
      </c>
      <c r="E41" s="77">
        <f t="shared" si="64"/>
        <v>0.02</v>
      </c>
      <c r="F41" s="28">
        <f>3600*4</f>
        <v>14400</v>
      </c>
      <c r="G41">
        <f t="shared" ref="G41:G44" si="75">F41/3600</f>
        <v>4</v>
      </c>
      <c r="H41" s="30">
        <f t="shared" si="66"/>
        <v>7320000.0000000009</v>
      </c>
      <c r="I41" s="30">
        <f t="shared" si="72"/>
        <v>691200000</v>
      </c>
      <c r="J41" s="78" t="s">
        <v>1468</v>
      </c>
      <c r="K41" s="76">
        <f t="shared" si="67"/>
        <v>1.0534398220048868E-2</v>
      </c>
      <c r="L41" s="57">
        <f t="shared" si="68"/>
        <v>1.0534398220048868E-2</v>
      </c>
      <c r="M41" s="30">
        <f t="shared" si="73"/>
        <v>1440000000</v>
      </c>
      <c r="N41" s="29">
        <v>400000</v>
      </c>
      <c r="O41" s="48">
        <v>3600</v>
      </c>
      <c r="P41" s="29">
        <v>328000000</v>
      </c>
      <c r="Q41" s="30">
        <f t="shared" si="69"/>
        <v>3455282.6161760287</v>
      </c>
      <c r="R41" s="28">
        <f t="shared" si="74"/>
        <v>3.5000000000000003E-2</v>
      </c>
      <c r="S41" s="30">
        <f t="shared" si="70"/>
        <v>120934.89156616102</v>
      </c>
      <c r="T41" s="30" t="s">
        <v>1477</v>
      </c>
      <c r="U41" t="s">
        <v>1478</v>
      </c>
    </row>
    <row r="42" spans="1:21" x14ac:dyDescent="0.25">
      <c r="A42" s="79">
        <v>12</v>
      </c>
      <c r="B42" s="88">
        <v>1</v>
      </c>
      <c r="C42" s="31">
        <f t="shared" ref="C42:C44" si="76">B42*(N42/40)/(A42*A42)</f>
        <v>69.444444444444443</v>
      </c>
      <c r="D42" s="28">
        <v>366</v>
      </c>
      <c r="E42" s="77">
        <f t="shared" si="64"/>
        <v>0.02</v>
      </c>
      <c r="F42" s="28">
        <f>3600*4</f>
        <v>14400</v>
      </c>
      <c r="G42">
        <f t="shared" si="75"/>
        <v>4</v>
      </c>
      <c r="H42" s="30">
        <f t="shared" si="66"/>
        <v>7320000.0000000009</v>
      </c>
      <c r="I42" s="30">
        <f t="shared" si="72"/>
        <v>3456000000</v>
      </c>
      <c r="J42" s="78" t="s">
        <v>1468</v>
      </c>
      <c r="K42" s="76">
        <f t="shared" si="67"/>
        <v>2.1158140587048679E-3</v>
      </c>
      <c r="L42" s="57">
        <f t="shared" si="68"/>
        <v>2.1158140587048679E-3</v>
      </c>
      <c r="M42" s="30">
        <f t="shared" si="73"/>
        <v>7200000000</v>
      </c>
      <c r="N42" s="29">
        <v>400000</v>
      </c>
      <c r="O42" s="31">
        <f>O41*5</f>
        <v>18000</v>
      </c>
      <c r="P42" s="29">
        <v>328000000</v>
      </c>
      <c r="Q42" s="30">
        <f t="shared" si="69"/>
        <v>693987.01125519664</v>
      </c>
      <c r="R42" s="28">
        <f t="shared" si="74"/>
        <v>3.5000000000000003E-2</v>
      </c>
      <c r="S42" s="30">
        <f t="shared" si="70"/>
        <v>24289.545393931883</v>
      </c>
      <c r="T42" s="30" t="s">
        <v>1479</v>
      </c>
      <c r="U42" t="s">
        <v>1478</v>
      </c>
    </row>
    <row r="43" spans="1:21" x14ac:dyDescent="0.25">
      <c r="A43" s="79">
        <v>12</v>
      </c>
      <c r="B43" s="88">
        <v>1</v>
      </c>
      <c r="C43" s="31">
        <f t="shared" si="76"/>
        <v>694.44444444444446</v>
      </c>
      <c r="D43" s="28">
        <v>366</v>
      </c>
      <c r="E43" s="77">
        <f t="shared" si="64"/>
        <v>0.02</v>
      </c>
      <c r="F43" s="28">
        <f>3600*4</f>
        <v>14400</v>
      </c>
      <c r="G43">
        <f t="shared" si="75"/>
        <v>4</v>
      </c>
      <c r="H43" s="30">
        <f t="shared" si="66"/>
        <v>73200000</v>
      </c>
      <c r="I43" s="30">
        <f t="shared" si="72"/>
        <v>6912000000</v>
      </c>
      <c r="J43" s="78" t="s">
        <v>1468</v>
      </c>
      <c r="K43" s="76">
        <f t="shared" si="67"/>
        <v>1.0534398220048868E-2</v>
      </c>
      <c r="L43" s="57">
        <f t="shared" si="68"/>
        <v>1.0534398220048868E-2</v>
      </c>
      <c r="M43" s="30">
        <f t="shared" si="73"/>
        <v>14400000000</v>
      </c>
      <c r="N43" s="29">
        <f>100*1000*40</f>
        <v>4000000</v>
      </c>
      <c r="O43" s="48">
        <v>3600</v>
      </c>
      <c r="P43" s="29">
        <v>328000000</v>
      </c>
      <c r="Q43" s="30">
        <f t="shared" si="69"/>
        <v>3455282.6161760287</v>
      </c>
      <c r="R43" s="28">
        <f t="shared" si="74"/>
        <v>3.5000000000000003E-2</v>
      </c>
      <c r="S43" s="30">
        <f t="shared" si="70"/>
        <v>120934.89156616102</v>
      </c>
      <c r="T43" s="30" t="s">
        <v>1477</v>
      </c>
      <c r="U43" t="s">
        <v>1481</v>
      </c>
    </row>
    <row r="44" spans="1:21" x14ac:dyDescent="0.25">
      <c r="A44" s="79">
        <v>12</v>
      </c>
      <c r="B44" s="88">
        <v>1</v>
      </c>
      <c r="C44" s="31">
        <f t="shared" si="76"/>
        <v>694.44444444444446</v>
      </c>
      <c r="D44" s="28">
        <v>366</v>
      </c>
      <c r="E44" s="77">
        <f t="shared" si="64"/>
        <v>0.02</v>
      </c>
      <c r="F44" s="28">
        <f>3600*4</f>
        <v>14400</v>
      </c>
      <c r="G44">
        <f t="shared" si="75"/>
        <v>4</v>
      </c>
      <c r="H44" s="30">
        <f t="shared" si="66"/>
        <v>73200000</v>
      </c>
      <c r="I44" s="30">
        <f t="shared" si="72"/>
        <v>34560000000</v>
      </c>
      <c r="J44" s="78" t="s">
        <v>1468</v>
      </c>
      <c r="K44" s="76">
        <f t="shared" si="67"/>
        <v>2.1158140587048679E-3</v>
      </c>
      <c r="L44" s="57">
        <f t="shared" si="68"/>
        <v>2.1158140587048679E-3</v>
      </c>
      <c r="M44" s="30">
        <f t="shared" si="73"/>
        <v>72000000000</v>
      </c>
      <c r="N44" s="29">
        <f>100*1000*40</f>
        <v>4000000</v>
      </c>
      <c r="O44" s="31">
        <f>O43*5</f>
        <v>18000</v>
      </c>
      <c r="P44" s="29">
        <v>328000000</v>
      </c>
      <c r="Q44" s="30">
        <f t="shared" si="69"/>
        <v>693987.01125519664</v>
      </c>
      <c r="R44" s="28">
        <f t="shared" si="74"/>
        <v>3.5000000000000003E-2</v>
      </c>
      <c r="S44" s="30">
        <f t="shared" si="70"/>
        <v>24289.545393931883</v>
      </c>
      <c r="T44" s="30" t="s">
        <v>1479</v>
      </c>
      <c r="U44" t="s">
        <v>1481</v>
      </c>
    </row>
    <row r="45" spans="1:21" x14ac:dyDescent="0.25">
      <c r="E45" s="77"/>
      <c r="H45" s="30"/>
      <c r="I45" s="30"/>
      <c r="J45" s="30"/>
      <c r="K45" s="76"/>
      <c r="L45" s="76"/>
      <c r="M45" s="30"/>
      <c r="N45" s="29"/>
      <c r="O45" s="46"/>
      <c r="P45" s="29"/>
      <c r="Q45" s="30"/>
      <c r="S45" s="30"/>
      <c r="T45" s="30"/>
    </row>
    <row r="46" spans="1:21" s="2" customFormat="1" ht="30" x14ac:dyDescent="0.25">
      <c r="C46" s="87"/>
      <c r="D46" s="79"/>
      <c r="F46" s="42" t="s">
        <v>1482</v>
      </c>
      <c r="G46" s="42" t="s">
        <v>1462</v>
      </c>
      <c r="H46" s="42" t="s">
        <v>841</v>
      </c>
      <c r="I46" s="42" t="s">
        <v>1463</v>
      </c>
      <c r="J46" s="42" t="s">
        <v>1456</v>
      </c>
      <c r="N46" s="79"/>
      <c r="P46" s="79"/>
      <c r="R46" s="79"/>
    </row>
    <row r="47" spans="1:21" x14ac:dyDescent="0.25">
      <c r="F47">
        <v>1000</v>
      </c>
      <c r="G47">
        <v>20</v>
      </c>
      <c r="H47">
        <v>1</v>
      </c>
      <c r="I47">
        <f>F47/(G47*H47)</f>
        <v>50</v>
      </c>
      <c r="J47" s="77">
        <f>H47/I47</f>
        <v>0.02</v>
      </c>
      <c r="U47" t="s">
        <v>1464</v>
      </c>
    </row>
    <row r="48" spans="1:21" x14ac:dyDescent="0.25">
      <c r="U48" s="28" t="s">
        <v>1450</v>
      </c>
    </row>
    <row r="49" spans="6:21" ht="15.75" x14ac:dyDescent="0.25">
      <c r="F49" s="32" t="s">
        <v>1385</v>
      </c>
      <c r="G49" s="32" t="s">
        <v>1386</v>
      </c>
      <c r="H49" s="32" t="s">
        <v>261</v>
      </c>
      <c r="I49" s="32" t="s">
        <v>1414</v>
      </c>
      <c r="U49" s="11" t="s">
        <v>1441</v>
      </c>
    </row>
    <row r="50" spans="6:21" ht="15.75" x14ac:dyDescent="0.25">
      <c r="F50">
        <v>30</v>
      </c>
      <c r="G50">
        <v>30</v>
      </c>
      <c r="H50">
        <v>12</v>
      </c>
      <c r="I50" s="30">
        <f>F50*G50*H50</f>
        <v>10800</v>
      </c>
      <c r="U50" s="11" t="s">
        <v>1443</v>
      </c>
    </row>
    <row r="51" spans="6:21" ht="15.75" x14ac:dyDescent="0.25">
      <c r="F51">
        <v>100</v>
      </c>
      <c r="G51">
        <v>100</v>
      </c>
      <c r="H51">
        <v>40</v>
      </c>
      <c r="I51" s="30">
        <f>F51*G51*H51</f>
        <v>400000</v>
      </c>
      <c r="U51" s="11" t="s">
        <v>1443</v>
      </c>
    </row>
    <row r="52" spans="6:21" ht="15.75" x14ac:dyDescent="0.25">
      <c r="F52">
        <v>1000</v>
      </c>
      <c r="G52">
        <v>100</v>
      </c>
      <c r="H52">
        <v>40</v>
      </c>
      <c r="I52" s="30">
        <f>F52*G52*H52</f>
        <v>4000000</v>
      </c>
      <c r="U52" s="11" t="s">
        <v>1444</v>
      </c>
    </row>
    <row r="53" spans="6:21" ht="15.75" x14ac:dyDescent="0.25">
      <c r="U53" s="11" t="s">
        <v>1445</v>
      </c>
    </row>
    <row r="54" spans="6:21" ht="30" x14ac:dyDescent="0.25">
      <c r="F54" s="79" t="s">
        <v>1487</v>
      </c>
      <c r="G54" s="32" t="s">
        <v>1488</v>
      </c>
      <c r="H54" s="32" t="s">
        <v>1489</v>
      </c>
      <c r="I54" s="32" t="s">
        <v>1490</v>
      </c>
      <c r="J54" s="32" t="s">
        <v>264</v>
      </c>
      <c r="K54" s="32" t="s">
        <v>1268</v>
      </c>
      <c r="L54" s="32"/>
      <c r="U54" s="11" t="s">
        <v>1442</v>
      </c>
    </row>
    <row r="55" spans="6:21" ht="15.75" x14ac:dyDescent="0.25">
      <c r="F55" s="28">
        <v>6</v>
      </c>
      <c r="G55" s="30">
        <f>30*30</f>
        <v>900</v>
      </c>
      <c r="H55" s="31">
        <f>G55/(F55*F55)</f>
        <v>25</v>
      </c>
      <c r="I55" s="28">
        <v>0.1</v>
      </c>
      <c r="J55" s="31">
        <f>H55*I55</f>
        <v>2.5</v>
      </c>
      <c r="U55" s="11" t="s">
        <v>1446</v>
      </c>
    </row>
    <row r="56" spans="6:21" ht="15.75" x14ac:dyDescent="0.25">
      <c r="F56" s="28">
        <v>6</v>
      </c>
      <c r="G56" s="30">
        <f>100*100</f>
        <v>10000</v>
      </c>
      <c r="H56" s="30">
        <f t="shared" ref="H56:H57" si="77">G56/(F56*F56)</f>
        <v>277.77777777777777</v>
      </c>
      <c r="I56" s="28">
        <v>0.1</v>
      </c>
      <c r="J56" s="30">
        <f t="shared" ref="J56:J57" si="78">H56*I56</f>
        <v>27.777777777777779</v>
      </c>
      <c r="U56" s="11" t="s">
        <v>1446</v>
      </c>
    </row>
    <row r="57" spans="6:21" ht="15.75" x14ac:dyDescent="0.25">
      <c r="F57" s="28">
        <v>6</v>
      </c>
      <c r="G57" s="30">
        <f>100*1000</f>
        <v>100000</v>
      </c>
      <c r="H57" s="30">
        <f t="shared" si="77"/>
        <v>2777.7777777777778</v>
      </c>
      <c r="I57" s="28">
        <v>0.1</v>
      </c>
      <c r="J57" s="30">
        <f t="shared" si="78"/>
        <v>277.77777777777777</v>
      </c>
      <c r="K57" t="s">
        <v>1491</v>
      </c>
      <c r="U57" s="11" t="s">
        <v>1447</v>
      </c>
    </row>
    <row r="58" spans="6:21" ht="15.75" x14ac:dyDescent="0.25">
      <c r="U58" s="11" t="s">
        <v>1448</v>
      </c>
    </row>
    <row r="59" spans="6:21" ht="15.75" x14ac:dyDescent="0.25">
      <c r="F59" s="28">
        <v>16</v>
      </c>
      <c r="G59" s="30">
        <f>30*30</f>
        <v>900</v>
      </c>
      <c r="H59" s="31">
        <f>G59/(F59*F59)</f>
        <v>3.515625</v>
      </c>
      <c r="I59" s="28">
        <v>0.1</v>
      </c>
      <c r="J59" s="80">
        <f>H59*I59</f>
        <v>0.3515625</v>
      </c>
      <c r="U59" s="11" t="s">
        <v>1449</v>
      </c>
    </row>
    <row r="60" spans="6:21" x14ac:dyDescent="0.25">
      <c r="F60" s="28">
        <v>16</v>
      </c>
      <c r="G60" s="30">
        <f>100*100</f>
        <v>10000</v>
      </c>
      <c r="H60" s="30">
        <f t="shared" ref="H60:H61" si="79">G60/(F60*F60)</f>
        <v>39.0625</v>
      </c>
      <c r="I60" s="28">
        <v>0.1</v>
      </c>
      <c r="J60" s="30">
        <f t="shared" ref="J60:J61" si="80">H60*I60</f>
        <v>3.90625</v>
      </c>
    </row>
    <row r="61" spans="6:21" x14ac:dyDescent="0.25">
      <c r="F61" s="28">
        <v>16</v>
      </c>
      <c r="G61" s="30">
        <f>100*1000</f>
        <v>100000</v>
      </c>
      <c r="H61" s="30">
        <f t="shared" si="79"/>
        <v>390.625</v>
      </c>
      <c r="I61" s="28">
        <v>0.1</v>
      </c>
      <c r="J61" s="30">
        <f t="shared" si="80"/>
        <v>39.0625</v>
      </c>
      <c r="K61" t="s">
        <v>1491</v>
      </c>
    </row>
  </sheetData>
  <pageMargins left="0.7" right="0.7" top="0.75" bottom="0.75" header="0.3" footer="0.3"/>
  <pageSetup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37187-C40C-4762-AE92-D32A3FD538A1}">
  <dimension ref="A2:K103"/>
  <sheetViews>
    <sheetView workbookViewId="0">
      <selection activeCell="B57" sqref="B57"/>
    </sheetView>
  </sheetViews>
  <sheetFormatPr defaultRowHeight="15" x14ac:dyDescent="0.25"/>
  <cols>
    <col min="1" max="1" width="33.42578125" customWidth="1"/>
  </cols>
  <sheetData>
    <row r="2" spans="1:11" x14ac:dyDescent="0.25">
      <c r="A2" t="s">
        <v>3268</v>
      </c>
      <c r="E2" t="s">
        <v>3325</v>
      </c>
    </row>
    <row r="3" spans="1:11" x14ac:dyDescent="0.25">
      <c r="A3" t="s">
        <v>3326</v>
      </c>
      <c r="B3" t="s">
        <v>3269</v>
      </c>
    </row>
    <row r="4" spans="1:11" x14ac:dyDescent="0.25">
      <c r="A4" t="s">
        <v>9</v>
      </c>
      <c r="B4" t="s">
        <v>3270</v>
      </c>
      <c r="C4" t="s">
        <v>3271</v>
      </c>
      <c r="D4" t="s">
        <v>3272</v>
      </c>
      <c r="E4" t="s">
        <v>3273</v>
      </c>
      <c r="F4" t="s">
        <v>3274</v>
      </c>
      <c r="G4" t="s">
        <v>3275</v>
      </c>
      <c r="H4" t="s">
        <v>3276</v>
      </c>
      <c r="I4" t="s">
        <v>3277</v>
      </c>
      <c r="J4" t="s">
        <v>3278</v>
      </c>
      <c r="K4" t="s">
        <v>3279</v>
      </c>
    </row>
    <row r="5" spans="1:11" x14ac:dyDescent="0.25">
      <c r="A5" t="s">
        <v>3280</v>
      </c>
      <c r="B5">
        <v>0</v>
      </c>
      <c r="C5">
        <v>0</v>
      </c>
      <c r="D5">
        <v>0.1</v>
      </c>
      <c r="E5">
        <v>0.4</v>
      </c>
      <c r="F5">
        <v>1.3</v>
      </c>
      <c r="G5">
        <v>3.6</v>
      </c>
      <c r="H5">
        <v>12.9</v>
      </c>
      <c r="I5">
        <v>18.8</v>
      </c>
      <c r="J5">
        <v>28.4</v>
      </c>
    </row>
    <row r="6" spans="1:11" x14ac:dyDescent="0.25">
      <c r="A6" t="s">
        <v>3281</v>
      </c>
      <c r="B6">
        <v>0</v>
      </c>
      <c r="C6">
        <v>0</v>
      </c>
      <c r="D6">
        <v>0</v>
      </c>
      <c r="E6">
        <v>0</v>
      </c>
      <c r="F6">
        <v>0.1</v>
      </c>
      <c r="G6">
        <v>0.2</v>
      </c>
      <c r="H6">
        <v>1.1000000000000001</v>
      </c>
      <c r="I6">
        <v>4.0999999999999996</v>
      </c>
      <c r="J6">
        <v>18.100000000000001</v>
      </c>
      <c r="K6">
        <v>40.799999999999997</v>
      </c>
    </row>
    <row r="7" spans="1:11" x14ac:dyDescent="0.25">
      <c r="A7" t="s">
        <v>3282</v>
      </c>
      <c r="B7">
        <v>0</v>
      </c>
      <c r="D7">
        <v>0</v>
      </c>
      <c r="E7">
        <v>0</v>
      </c>
      <c r="F7">
        <v>0.1</v>
      </c>
      <c r="G7">
        <v>0.6</v>
      </c>
      <c r="H7">
        <v>2.9</v>
      </c>
      <c r="I7">
        <v>11.6</v>
      </c>
      <c r="J7">
        <v>26.5</v>
      </c>
    </row>
    <row r="8" spans="1:11" x14ac:dyDescent="0.25">
      <c r="A8" t="s">
        <v>3283</v>
      </c>
      <c r="B8">
        <v>0</v>
      </c>
      <c r="C8">
        <v>0</v>
      </c>
      <c r="D8">
        <v>0.1</v>
      </c>
      <c r="E8">
        <v>0.1</v>
      </c>
      <c r="F8">
        <v>0.1</v>
      </c>
      <c r="G8">
        <v>0.2</v>
      </c>
      <c r="H8">
        <v>1.9</v>
      </c>
      <c r="I8">
        <v>11.9</v>
      </c>
      <c r="J8">
        <v>30.8</v>
      </c>
    </row>
    <row r="9" spans="1:11" x14ac:dyDescent="0.25">
      <c r="A9" t="s">
        <v>3284</v>
      </c>
      <c r="B9">
        <v>0</v>
      </c>
      <c r="C9">
        <v>0</v>
      </c>
      <c r="D9">
        <v>0</v>
      </c>
      <c r="E9">
        <v>0</v>
      </c>
      <c r="F9">
        <v>0.5</v>
      </c>
      <c r="G9">
        <v>0.8</v>
      </c>
      <c r="H9">
        <v>4.5999999999999996</v>
      </c>
      <c r="I9">
        <v>12.3</v>
      </c>
      <c r="J9">
        <v>33.799999999999997</v>
      </c>
      <c r="K9">
        <v>33.6</v>
      </c>
    </row>
    <row r="10" spans="1:11" x14ac:dyDescent="0.25">
      <c r="A10" t="s">
        <v>3285</v>
      </c>
      <c r="B10">
        <v>0</v>
      </c>
      <c r="C10">
        <v>0</v>
      </c>
      <c r="D10">
        <v>0.1</v>
      </c>
      <c r="E10">
        <v>0.2</v>
      </c>
      <c r="F10">
        <v>0.5</v>
      </c>
      <c r="G10">
        <v>1.5</v>
      </c>
      <c r="H10">
        <v>5.6</v>
      </c>
      <c r="I10">
        <v>17.7</v>
      </c>
      <c r="J10">
        <v>26</v>
      </c>
      <c r="K10">
        <v>33.299999999999997</v>
      </c>
    </row>
    <row r="11" spans="1:11" x14ac:dyDescent="0.25">
      <c r="A11" t="s">
        <v>3286</v>
      </c>
      <c r="B11">
        <v>0</v>
      </c>
      <c r="D11">
        <v>0.1</v>
      </c>
      <c r="E11">
        <v>0.1</v>
      </c>
      <c r="F11">
        <v>0.2</v>
      </c>
      <c r="G11">
        <v>1.1000000000000001</v>
      </c>
      <c r="H11">
        <v>6.1</v>
      </c>
      <c r="I11">
        <v>21.4</v>
      </c>
      <c r="J11">
        <v>30.4</v>
      </c>
      <c r="K11">
        <v>36.1</v>
      </c>
    </row>
    <row r="12" spans="1:11" x14ac:dyDescent="0.25">
      <c r="A12" t="s">
        <v>3287</v>
      </c>
      <c r="B12">
        <v>0.1</v>
      </c>
      <c r="F12">
        <v>0.3</v>
      </c>
      <c r="G12">
        <v>0.7</v>
      </c>
      <c r="H12">
        <v>2.2999999999999998</v>
      </c>
      <c r="I12">
        <v>7.7</v>
      </c>
      <c r="J12">
        <v>15.6</v>
      </c>
    </row>
    <row r="13" spans="1:11" x14ac:dyDescent="0.25">
      <c r="A13" t="s">
        <v>3288</v>
      </c>
      <c r="B13">
        <v>0</v>
      </c>
      <c r="C13">
        <v>0.2</v>
      </c>
      <c r="D13">
        <v>0.2</v>
      </c>
      <c r="E13">
        <v>0.2</v>
      </c>
      <c r="F13">
        <v>0.4</v>
      </c>
      <c r="G13">
        <v>1.3</v>
      </c>
      <c r="H13">
        <v>3.6</v>
      </c>
      <c r="I13">
        <v>8</v>
      </c>
      <c r="J13">
        <v>14.8</v>
      </c>
    </row>
    <row r="14" spans="1:11" x14ac:dyDescent="0.25">
      <c r="A14" t="s">
        <v>3289</v>
      </c>
      <c r="B14">
        <v>0.3</v>
      </c>
      <c r="C14">
        <v>0</v>
      </c>
      <c r="D14">
        <v>0.2</v>
      </c>
      <c r="E14">
        <v>0.5</v>
      </c>
      <c r="F14">
        <v>1.6</v>
      </c>
      <c r="G14">
        <v>3.4</v>
      </c>
      <c r="H14">
        <v>9.4</v>
      </c>
      <c r="I14">
        <v>18.100000000000001</v>
      </c>
      <c r="J14">
        <v>25.6</v>
      </c>
      <c r="K14">
        <v>35.1</v>
      </c>
    </row>
    <row r="15" spans="1:11" x14ac:dyDescent="0.25">
      <c r="A15" t="s">
        <v>3290</v>
      </c>
      <c r="B15">
        <v>0.2</v>
      </c>
      <c r="H15">
        <v>4.0999999999999996</v>
      </c>
      <c r="I15">
        <v>16.5</v>
      </c>
      <c r="J15">
        <v>28.1</v>
      </c>
      <c r="K15">
        <v>48.2</v>
      </c>
    </row>
    <row r="16" spans="1:11" x14ac:dyDescent="0.25">
      <c r="A16" t="s">
        <v>3291</v>
      </c>
      <c r="B16">
        <v>0</v>
      </c>
      <c r="G16">
        <v>0.4</v>
      </c>
      <c r="H16">
        <v>1.6</v>
      </c>
      <c r="I16">
        <v>9.6</v>
      </c>
      <c r="J16">
        <v>32.700000000000003</v>
      </c>
    </row>
    <row r="17" spans="1:11" x14ac:dyDescent="0.25">
      <c r="A17" t="s">
        <v>3292</v>
      </c>
      <c r="B17">
        <v>0</v>
      </c>
      <c r="C17">
        <v>0</v>
      </c>
      <c r="D17">
        <v>0.1</v>
      </c>
      <c r="G17">
        <v>1.9</v>
      </c>
      <c r="I17">
        <v>19.7</v>
      </c>
      <c r="K17">
        <v>31</v>
      </c>
    </row>
    <row r="18" spans="1:11" x14ac:dyDescent="0.25">
      <c r="A18" t="s">
        <v>3293</v>
      </c>
      <c r="B18">
        <v>0</v>
      </c>
      <c r="C18">
        <v>0</v>
      </c>
      <c r="D18">
        <v>0.1</v>
      </c>
      <c r="E18">
        <v>0.1</v>
      </c>
      <c r="F18">
        <v>0.2</v>
      </c>
      <c r="G18">
        <v>0.9</v>
      </c>
      <c r="H18">
        <v>5.4</v>
      </c>
      <c r="I18">
        <v>15.8</v>
      </c>
      <c r="J18">
        <v>28</v>
      </c>
      <c r="K18">
        <v>35.799999999999997</v>
      </c>
    </row>
    <row r="19" spans="1:11" x14ac:dyDescent="0.25">
      <c r="A19" t="s">
        <v>3294</v>
      </c>
      <c r="B19">
        <v>0</v>
      </c>
      <c r="C19">
        <v>0</v>
      </c>
      <c r="D19">
        <v>0</v>
      </c>
      <c r="E19">
        <v>0.9</v>
      </c>
      <c r="F19">
        <v>0.9</v>
      </c>
      <c r="G19">
        <v>3.1</v>
      </c>
      <c r="H19">
        <v>9.6999999999999993</v>
      </c>
      <c r="I19">
        <v>22.9</v>
      </c>
      <c r="J19">
        <v>30.8</v>
      </c>
      <c r="K19">
        <v>31.3</v>
      </c>
    </row>
    <row r="20" spans="1:11" x14ac:dyDescent="0.25">
      <c r="A20" t="s">
        <v>3295</v>
      </c>
      <c r="B20">
        <v>0.3</v>
      </c>
      <c r="C20">
        <v>0</v>
      </c>
      <c r="D20">
        <v>0.1</v>
      </c>
      <c r="E20">
        <v>0.3</v>
      </c>
      <c r="F20">
        <v>0.9</v>
      </c>
      <c r="G20">
        <v>2.7</v>
      </c>
      <c r="H20">
        <v>10.6</v>
      </c>
      <c r="I20">
        <v>25.9</v>
      </c>
      <c r="J20">
        <v>32.4</v>
      </c>
      <c r="K20">
        <v>29.9</v>
      </c>
    </row>
    <row r="21" spans="1:11" x14ac:dyDescent="0.25">
      <c r="A21" t="s">
        <v>3296</v>
      </c>
      <c r="B21">
        <v>0</v>
      </c>
      <c r="C21">
        <v>0</v>
      </c>
      <c r="D21">
        <v>0</v>
      </c>
      <c r="E21">
        <v>0.1</v>
      </c>
      <c r="F21">
        <v>0.3</v>
      </c>
      <c r="G21">
        <v>0.6</v>
      </c>
      <c r="H21">
        <v>2.5</v>
      </c>
      <c r="I21">
        <v>6.8</v>
      </c>
      <c r="J21">
        <v>14.8</v>
      </c>
    </row>
    <row r="22" spans="1:11" x14ac:dyDescent="0.25">
      <c r="A22" t="s">
        <v>3297</v>
      </c>
      <c r="B22">
        <v>3.3</v>
      </c>
      <c r="C22">
        <v>0.6</v>
      </c>
      <c r="D22">
        <v>1.2</v>
      </c>
      <c r="E22">
        <v>2.9</v>
      </c>
      <c r="F22">
        <v>7.5</v>
      </c>
      <c r="G22">
        <v>15</v>
      </c>
      <c r="H22">
        <v>25.3</v>
      </c>
      <c r="I22">
        <v>33.700000000000003</v>
      </c>
      <c r="J22">
        <v>40.299999999999997</v>
      </c>
      <c r="K22">
        <v>40.6</v>
      </c>
    </row>
    <row r="23" spans="1:11" x14ac:dyDescent="0.25">
      <c r="A23" t="s">
        <v>3298</v>
      </c>
      <c r="B23">
        <v>0</v>
      </c>
      <c r="C23">
        <v>0.2</v>
      </c>
      <c r="D23">
        <v>0.1</v>
      </c>
      <c r="E23">
        <v>0.3</v>
      </c>
      <c r="F23">
        <v>0.5</v>
      </c>
      <c r="G23">
        <v>1.7</v>
      </c>
      <c r="H23">
        <v>8.1</v>
      </c>
      <c r="I23">
        <v>25.6</v>
      </c>
      <c r="J23">
        <v>33.299999999999997</v>
      </c>
      <c r="K23">
        <v>34.5</v>
      </c>
    </row>
    <row r="24" spans="1:11" x14ac:dyDescent="0.25">
      <c r="A24" t="s">
        <v>3299</v>
      </c>
      <c r="B24">
        <v>0</v>
      </c>
      <c r="F24">
        <v>0.1</v>
      </c>
      <c r="G24">
        <v>0.2</v>
      </c>
      <c r="H24">
        <v>1.1000000000000001</v>
      </c>
      <c r="I24">
        <v>5.3</v>
      </c>
      <c r="J24">
        <v>16.5</v>
      </c>
      <c r="K24">
        <v>36.9</v>
      </c>
    </row>
    <row r="25" spans="1:11" x14ac:dyDescent="0.25">
      <c r="A25" t="s">
        <v>3300</v>
      </c>
      <c r="B25">
        <v>1.6</v>
      </c>
      <c r="C25">
        <v>0.9</v>
      </c>
      <c r="D25">
        <v>0.5</v>
      </c>
      <c r="E25">
        <v>0.8</v>
      </c>
      <c r="F25">
        <v>2.4</v>
      </c>
      <c r="G25">
        <v>5.5</v>
      </c>
      <c r="H25">
        <v>13.2</v>
      </c>
      <c r="I25">
        <v>20.9</v>
      </c>
      <c r="J25">
        <v>31.5</v>
      </c>
    </row>
    <row r="26" spans="1:11" x14ac:dyDescent="0.25">
      <c r="A26" t="s">
        <v>3301</v>
      </c>
      <c r="B26">
        <v>0</v>
      </c>
      <c r="C26">
        <v>0</v>
      </c>
      <c r="D26">
        <v>0</v>
      </c>
      <c r="E26">
        <v>0</v>
      </c>
      <c r="F26">
        <v>0.3</v>
      </c>
      <c r="G26">
        <v>1.3</v>
      </c>
      <c r="H26">
        <v>3.6</v>
      </c>
      <c r="I26">
        <v>10.5</v>
      </c>
      <c r="J26">
        <v>21.2</v>
      </c>
    </row>
    <row r="27" spans="1:11" x14ac:dyDescent="0.25">
      <c r="A27" t="s">
        <v>3302</v>
      </c>
      <c r="B27">
        <v>0.3</v>
      </c>
      <c r="C27">
        <v>0.1</v>
      </c>
      <c r="D27">
        <v>0.1</v>
      </c>
      <c r="E27">
        <v>0.4</v>
      </c>
      <c r="F27">
        <v>1.1000000000000001</v>
      </c>
      <c r="G27">
        <v>3.8</v>
      </c>
      <c r="H27">
        <v>9.1999999999999993</v>
      </c>
      <c r="I27">
        <v>15</v>
      </c>
      <c r="J27">
        <v>12.3</v>
      </c>
    </row>
    <row r="28" spans="1:11" x14ac:dyDescent="0.25">
      <c r="A28" t="s">
        <v>3303</v>
      </c>
      <c r="B28">
        <v>0</v>
      </c>
      <c r="C28">
        <v>0</v>
      </c>
      <c r="D28">
        <v>0</v>
      </c>
      <c r="E28">
        <v>0</v>
      </c>
      <c r="F28">
        <v>0.1</v>
      </c>
      <c r="G28">
        <v>0.4</v>
      </c>
      <c r="H28">
        <v>1.2</v>
      </c>
      <c r="I28">
        <v>6.4</v>
      </c>
      <c r="J28">
        <v>18.2</v>
      </c>
    </row>
    <row r="29" spans="1:11" x14ac:dyDescent="0.25">
      <c r="A29" t="s">
        <v>3304</v>
      </c>
      <c r="B29">
        <v>0.3</v>
      </c>
      <c r="C29">
        <v>0.2</v>
      </c>
      <c r="D29">
        <v>0.2</v>
      </c>
      <c r="E29">
        <v>0.3</v>
      </c>
      <c r="F29">
        <v>0.6</v>
      </c>
      <c r="G29">
        <v>1.4</v>
      </c>
      <c r="H29">
        <v>5</v>
      </c>
      <c r="I29">
        <v>14.3</v>
      </c>
      <c r="J29">
        <v>20.8</v>
      </c>
      <c r="K29">
        <v>21.7</v>
      </c>
    </row>
    <row r="30" spans="1:11" x14ac:dyDescent="0.25">
      <c r="A30" t="s">
        <v>3305</v>
      </c>
      <c r="B30">
        <v>0.1</v>
      </c>
      <c r="C30">
        <v>0</v>
      </c>
      <c r="D30">
        <v>0</v>
      </c>
      <c r="E30">
        <v>0</v>
      </c>
      <c r="F30">
        <v>0.1</v>
      </c>
      <c r="G30">
        <v>0.4</v>
      </c>
      <c r="H30">
        <v>1.9</v>
      </c>
      <c r="I30">
        <v>11.6</v>
      </c>
      <c r="J30">
        <v>26.2</v>
      </c>
      <c r="K30">
        <v>32.9</v>
      </c>
    </row>
    <row r="31" spans="1:11" x14ac:dyDescent="0.25">
      <c r="A31" t="s">
        <v>3306</v>
      </c>
      <c r="B31">
        <v>0.6</v>
      </c>
      <c r="C31">
        <v>0</v>
      </c>
      <c r="D31">
        <v>0</v>
      </c>
      <c r="E31">
        <v>0.1</v>
      </c>
      <c r="F31">
        <v>0.1</v>
      </c>
      <c r="G31">
        <v>0.6</v>
      </c>
      <c r="H31">
        <v>3.4</v>
      </c>
      <c r="I31">
        <v>11.6</v>
      </c>
      <c r="J31">
        <v>28.2</v>
      </c>
    </row>
    <row r="32" spans="1:11" x14ac:dyDescent="0.25">
      <c r="A32" t="s">
        <v>2417</v>
      </c>
    </row>
    <row r="33" spans="1:10" x14ac:dyDescent="0.25">
      <c r="A33" t="s">
        <v>3307</v>
      </c>
      <c r="B33">
        <v>0.2</v>
      </c>
      <c r="C33">
        <v>0.2</v>
      </c>
      <c r="D33">
        <v>0.2</v>
      </c>
      <c r="E33">
        <v>0.2</v>
      </c>
      <c r="F33">
        <v>0.8</v>
      </c>
      <c r="G33">
        <v>1.9</v>
      </c>
      <c r="H33">
        <v>6.2</v>
      </c>
      <c r="I33">
        <v>18.5</v>
      </c>
      <c r="J33">
        <v>39</v>
      </c>
    </row>
    <row r="34" spans="1:10" x14ac:dyDescent="0.25">
      <c r="A34" t="s">
        <v>3308</v>
      </c>
      <c r="B34">
        <v>0.2</v>
      </c>
      <c r="C34">
        <v>0.1</v>
      </c>
      <c r="D34">
        <v>0.1</v>
      </c>
      <c r="E34">
        <v>0.3</v>
      </c>
      <c r="F34">
        <v>0.7</v>
      </c>
      <c r="G34">
        <v>1.8</v>
      </c>
      <c r="H34">
        <v>7</v>
      </c>
      <c r="I34">
        <v>18</v>
      </c>
      <c r="J34">
        <v>31.2</v>
      </c>
    </row>
    <row r="35" spans="1:10" x14ac:dyDescent="0.25">
      <c r="A35" t="s">
        <v>3309</v>
      </c>
      <c r="B35">
        <v>0</v>
      </c>
      <c r="C35">
        <v>0.1</v>
      </c>
      <c r="E35">
        <v>0.5</v>
      </c>
      <c r="F35">
        <v>0.9</v>
      </c>
      <c r="G35">
        <v>2</v>
      </c>
      <c r="H35">
        <v>6.1</v>
      </c>
      <c r="I35">
        <v>13.2</v>
      </c>
      <c r="J35">
        <v>22</v>
      </c>
    </row>
    <row r="36" spans="1:10" x14ac:dyDescent="0.25">
      <c r="A36" t="s">
        <v>3310</v>
      </c>
      <c r="B36">
        <v>0</v>
      </c>
      <c r="C36">
        <v>0</v>
      </c>
      <c r="D36">
        <v>0</v>
      </c>
      <c r="E36">
        <v>0</v>
      </c>
      <c r="F36">
        <v>0</v>
      </c>
      <c r="G36">
        <v>0.4</v>
      </c>
      <c r="H36">
        <v>3.1</v>
      </c>
      <c r="I36">
        <v>8.9</v>
      </c>
      <c r="J36">
        <v>31.4</v>
      </c>
    </row>
    <row r="37" spans="1:10" x14ac:dyDescent="0.25">
      <c r="A37" t="s">
        <v>3311</v>
      </c>
      <c r="B37">
        <v>0.1</v>
      </c>
      <c r="D37">
        <v>0.1</v>
      </c>
      <c r="E37">
        <v>0.2</v>
      </c>
      <c r="F37">
        <v>0.6</v>
      </c>
      <c r="G37">
        <v>1.8</v>
      </c>
      <c r="H37">
        <v>7.3</v>
      </c>
      <c r="I37">
        <v>17.100000000000001</v>
      </c>
      <c r="J37">
        <v>30.2</v>
      </c>
    </row>
    <row r="38" spans="1:10" x14ac:dyDescent="0.25">
      <c r="A38" t="s">
        <v>3312</v>
      </c>
      <c r="B38">
        <v>0</v>
      </c>
      <c r="C38">
        <v>0</v>
      </c>
      <c r="D38">
        <v>0</v>
      </c>
      <c r="E38">
        <v>0.2</v>
      </c>
      <c r="F38">
        <v>0.5</v>
      </c>
      <c r="G38">
        <v>1.9</v>
      </c>
      <c r="H38">
        <v>5.9</v>
      </c>
      <c r="I38">
        <v>14.2</v>
      </c>
      <c r="J38">
        <v>29.1</v>
      </c>
    </row>
    <row r="39" spans="1:10" x14ac:dyDescent="0.25">
      <c r="A39" t="s">
        <v>3313</v>
      </c>
      <c r="B39">
        <v>0</v>
      </c>
      <c r="C39">
        <v>0.1</v>
      </c>
      <c r="D39">
        <v>0.2</v>
      </c>
      <c r="E39">
        <v>0.3</v>
      </c>
      <c r="F39">
        <v>0.7</v>
      </c>
      <c r="G39">
        <v>1.9</v>
      </c>
      <c r="H39">
        <v>6.1</v>
      </c>
      <c r="I39">
        <v>14.6</v>
      </c>
      <c r="J39">
        <v>28.8</v>
      </c>
    </row>
    <row r="40" spans="1:10" x14ac:dyDescent="0.25">
      <c r="A40" t="s">
        <v>3314</v>
      </c>
      <c r="B40">
        <v>0</v>
      </c>
      <c r="C40">
        <v>0</v>
      </c>
      <c r="D40">
        <v>0.1</v>
      </c>
      <c r="E40">
        <v>0.1</v>
      </c>
      <c r="F40">
        <v>0.4</v>
      </c>
      <c r="G40">
        <v>1.5</v>
      </c>
      <c r="H40">
        <v>5.2</v>
      </c>
      <c r="I40">
        <v>16.8</v>
      </c>
      <c r="J40">
        <v>28.9</v>
      </c>
    </row>
    <row r="41" spans="1:10" x14ac:dyDescent="0.25">
      <c r="A41" t="s">
        <v>3315</v>
      </c>
      <c r="B41">
        <v>0</v>
      </c>
      <c r="C41">
        <v>0</v>
      </c>
      <c r="D41">
        <v>0</v>
      </c>
      <c r="E41">
        <v>0.1</v>
      </c>
      <c r="F41">
        <v>0.3</v>
      </c>
      <c r="G41">
        <v>1.6</v>
      </c>
      <c r="H41">
        <v>5.4</v>
      </c>
      <c r="I41">
        <v>26.9</v>
      </c>
    </row>
    <row r="42" spans="1:10" x14ac:dyDescent="0.25">
      <c r="A42" t="s">
        <v>3316</v>
      </c>
      <c r="B42">
        <v>0</v>
      </c>
      <c r="C42">
        <v>0.1</v>
      </c>
      <c r="D42">
        <v>0.5</v>
      </c>
      <c r="E42">
        <v>0.9</v>
      </c>
      <c r="F42">
        <v>2.1</v>
      </c>
      <c r="G42">
        <v>8.1</v>
      </c>
      <c r="H42">
        <v>16.100000000000001</v>
      </c>
      <c r="I42">
        <v>19.399999999999999</v>
      </c>
      <c r="J42">
        <v>27.2</v>
      </c>
    </row>
    <row r="43" spans="1:10" x14ac:dyDescent="0.25">
      <c r="A43" t="s">
        <v>3317</v>
      </c>
      <c r="B43">
        <v>0</v>
      </c>
      <c r="C43">
        <v>0</v>
      </c>
      <c r="D43">
        <v>0.1</v>
      </c>
      <c r="E43">
        <v>0.2</v>
      </c>
      <c r="F43">
        <v>0.8</v>
      </c>
      <c r="G43">
        <v>2.2000000000000002</v>
      </c>
      <c r="H43">
        <v>6.3</v>
      </c>
      <c r="I43">
        <v>14.3</v>
      </c>
      <c r="J43">
        <v>22.5</v>
      </c>
    </row>
    <row r="44" spans="1:10" x14ac:dyDescent="0.25">
      <c r="A44" t="s">
        <v>3318</v>
      </c>
      <c r="B44">
        <v>0</v>
      </c>
      <c r="C44">
        <v>0.3</v>
      </c>
      <c r="D44">
        <v>0.3</v>
      </c>
      <c r="E44">
        <v>0.4</v>
      </c>
      <c r="F44">
        <v>1.7</v>
      </c>
      <c r="G44">
        <v>2.6</v>
      </c>
      <c r="H44">
        <v>7.7</v>
      </c>
      <c r="I44">
        <v>22.3</v>
      </c>
    </row>
    <row r="45" spans="1:10" x14ac:dyDescent="0.25">
      <c r="A45" t="s">
        <v>3319</v>
      </c>
      <c r="B45">
        <v>0</v>
      </c>
      <c r="C45">
        <v>0</v>
      </c>
      <c r="D45">
        <v>0.4</v>
      </c>
      <c r="E45">
        <v>0</v>
      </c>
      <c r="F45">
        <v>1.2</v>
      </c>
      <c r="G45">
        <v>0</v>
      </c>
      <c r="H45">
        <v>2.2000000000000002</v>
      </c>
      <c r="I45">
        <v>12</v>
      </c>
      <c r="J45">
        <v>21.2</v>
      </c>
    </row>
    <row r="46" spans="1:10" x14ac:dyDescent="0.25">
      <c r="A46" t="s">
        <v>3320</v>
      </c>
      <c r="B46">
        <v>0</v>
      </c>
      <c r="C46">
        <v>0</v>
      </c>
      <c r="D46">
        <v>0</v>
      </c>
      <c r="E46">
        <v>0</v>
      </c>
      <c r="F46">
        <v>0.5</v>
      </c>
      <c r="G46">
        <v>0.8</v>
      </c>
      <c r="H46">
        <v>5.6</v>
      </c>
      <c r="I46">
        <v>12.1</v>
      </c>
      <c r="J46">
        <v>28.9</v>
      </c>
    </row>
    <row r="47" spans="1:10" x14ac:dyDescent="0.25">
      <c r="A47" t="s">
        <v>3321</v>
      </c>
      <c r="B47">
        <v>0</v>
      </c>
      <c r="C47">
        <v>0.5</v>
      </c>
      <c r="D47">
        <v>0.4</v>
      </c>
      <c r="E47">
        <v>0.3</v>
      </c>
      <c r="F47">
        <v>0.8</v>
      </c>
      <c r="G47">
        <v>2.1</v>
      </c>
      <c r="H47">
        <v>5.5</v>
      </c>
      <c r="I47">
        <v>10.1</v>
      </c>
      <c r="J47">
        <v>30.6</v>
      </c>
    </row>
    <row r="48" spans="1:10" x14ac:dyDescent="0.25">
      <c r="A48" t="s">
        <v>3322</v>
      </c>
      <c r="B48">
        <v>0</v>
      </c>
      <c r="C48">
        <v>0</v>
      </c>
      <c r="D48">
        <v>0</v>
      </c>
      <c r="E48">
        <v>0.1</v>
      </c>
      <c r="F48">
        <v>0.4</v>
      </c>
      <c r="G48">
        <v>1</v>
      </c>
      <c r="H48">
        <v>4.4000000000000004</v>
      </c>
      <c r="I48">
        <v>12.9</v>
      </c>
      <c r="J48">
        <v>24.9</v>
      </c>
    </row>
    <row r="49" spans="1:11" x14ac:dyDescent="0.25">
      <c r="A49" t="s">
        <v>3323</v>
      </c>
      <c r="B49">
        <v>0</v>
      </c>
      <c r="D49">
        <v>0.2</v>
      </c>
      <c r="F49">
        <v>1.3</v>
      </c>
      <c r="H49">
        <v>9.8000000000000007</v>
      </c>
      <c r="J49">
        <v>31.2</v>
      </c>
    </row>
    <row r="50" spans="1:11" x14ac:dyDescent="0.25">
      <c r="A50" t="s">
        <v>3324</v>
      </c>
      <c r="B50">
        <v>0</v>
      </c>
      <c r="C50">
        <v>0</v>
      </c>
      <c r="D50">
        <v>0.2</v>
      </c>
      <c r="E50">
        <v>0.2</v>
      </c>
      <c r="F50">
        <v>0.6</v>
      </c>
      <c r="G50">
        <v>2</v>
      </c>
      <c r="H50">
        <v>5</v>
      </c>
      <c r="I50">
        <v>14.7</v>
      </c>
      <c r="J50">
        <v>19.899999999999999</v>
      </c>
      <c r="K50">
        <v>30.4</v>
      </c>
    </row>
    <row r="52" spans="1:11" x14ac:dyDescent="0.25">
      <c r="A52" t="s">
        <v>3327</v>
      </c>
      <c r="B52" s="46">
        <f>AVERAGEA(B5:B50)</f>
        <v>0.16888888888888889</v>
      </c>
      <c r="C52" s="46">
        <f t="shared" ref="C52:K52" si="0">AVERAGEA(C5:C50)</f>
        <v>9.7297297297297317E-2</v>
      </c>
      <c r="D52" s="46">
        <f t="shared" si="0"/>
        <v>0.15000000000000002</v>
      </c>
      <c r="E52" s="46">
        <f t="shared" si="0"/>
        <v>0.29999999999999993</v>
      </c>
      <c r="F52" s="46">
        <f t="shared" si="0"/>
        <v>0.82142857142857162</v>
      </c>
      <c r="G52" s="46">
        <f t="shared" si="0"/>
        <v>2.0209302325581389</v>
      </c>
      <c r="H52" s="46">
        <f t="shared" si="0"/>
        <v>6.1636363636363622</v>
      </c>
      <c r="I52" s="46">
        <f t="shared" si="0"/>
        <v>15.220454545454546</v>
      </c>
      <c r="J52" s="46">
        <f t="shared" si="0"/>
        <v>26.483333333333341</v>
      </c>
      <c r="K52" s="46">
        <f t="shared" si="0"/>
        <v>34.506250000000001</v>
      </c>
    </row>
    <row r="53" spans="1:11" x14ac:dyDescent="0.25">
      <c r="A53" t="s">
        <v>584</v>
      </c>
      <c r="B53" s="46">
        <f>MAX(B5:B50)</f>
        <v>3.3</v>
      </c>
      <c r="C53" s="46">
        <f t="shared" ref="C53:K53" si="1">MAX(C5:C50)</f>
        <v>0.9</v>
      </c>
      <c r="D53" s="46">
        <f t="shared" si="1"/>
        <v>1.2</v>
      </c>
      <c r="E53" s="46">
        <f t="shared" si="1"/>
        <v>2.9</v>
      </c>
      <c r="F53" s="46">
        <f t="shared" si="1"/>
        <v>7.5</v>
      </c>
      <c r="G53" s="46">
        <f t="shared" si="1"/>
        <v>15</v>
      </c>
      <c r="H53" s="46">
        <f t="shared" si="1"/>
        <v>25.3</v>
      </c>
      <c r="I53" s="46">
        <f t="shared" si="1"/>
        <v>33.700000000000003</v>
      </c>
      <c r="J53" s="46">
        <f t="shared" si="1"/>
        <v>40.299999999999997</v>
      </c>
      <c r="K53" s="46">
        <f t="shared" si="1"/>
        <v>48.2</v>
      </c>
    </row>
    <row r="54" spans="1:11" x14ac:dyDescent="0.25">
      <c r="A54" t="s">
        <v>585</v>
      </c>
      <c r="B54" s="46" cm="1">
        <f t="array" ref="B54">MIN(IF(B5:B50&gt;0,B5:B50))</f>
        <v>0.1</v>
      </c>
      <c r="C54" s="46" cm="1">
        <f t="array" ref="C54">MIN(IF(C5:C50&gt;0,C5:C50))</f>
        <v>0.1</v>
      </c>
      <c r="D54" s="46" cm="1">
        <f t="array" ref="D54">MIN(IF(D5:D50&gt;0,D5:D50))</f>
        <v>0.1</v>
      </c>
      <c r="E54" s="46" cm="1">
        <f t="array" ref="E54">MIN(IF(E5:E50&gt;0,E5:E50))</f>
        <v>0.1</v>
      </c>
      <c r="F54" s="46" cm="1">
        <f t="array" ref="F54">MIN(IF(F5:F50&gt;0,F5:F50))</f>
        <v>0.1</v>
      </c>
      <c r="G54" s="46" cm="1">
        <f t="array" ref="G54">MIN(IF(G5:G50&gt;0,G5:G50))</f>
        <v>0.2</v>
      </c>
      <c r="H54" s="46" cm="1">
        <f t="array" ref="H54">MIN(IF(H5:H50&gt;0,H5:H50))</f>
        <v>1.1000000000000001</v>
      </c>
      <c r="I54" s="46" cm="1">
        <f t="array" ref="I54">MIN(IF(I5:I50&gt;0,I5:I50))</f>
        <v>4.0999999999999996</v>
      </c>
      <c r="J54" s="46" cm="1">
        <f t="array" ref="J54">MIN(IF(J5:J50&gt;0,J5:J50))</f>
        <v>12.3</v>
      </c>
      <c r="K54" s="46" cm="1">
        <f t="array" ref="K54">MIN(IF(K5:K50&gt;0,K5:K50))</f>
        <v>21.7</v>
      </c>
    </row>
    <row r="57" spans="1:11" x14ac:dyDescent="0.25">
      <c r="B57" t="s">
        <v>3328</v>
      </c>
    </row>
    <row r="58" spans="1:11" x14ac:dyDescent="0.25">
      <c r="B58">
        <f>174</f>
        <v>174</v>
      </c>
      <c r="C58" s="13" t="s">
        <v>3329</v>
      </c>
    </row>
    <row r="59" spans="1:11" x14ac:dyDescent="0.25">
      <c r="B59">
        <f>B58+1</f>
        <v>175</v>
      </c>
      <c r="C59" s="279" t="s">
        <v>3372</v>
      </c>
    </row>
    <row r="60" spans="1:11" x14ac:dyDescent="0.25">
      <c r="B60">
        <f t="shared" ref="B60:B103" si="2">B59+1</f>
        <v>176</v>
      </c>
      <c r="C60" s="13" t="s">
        <v>3330</v>
      </c>
    </row>
    <row r="61" spans="1:11" x14ac:dyDescent="0.25">
      <c r="B61">
        <f t="shared" si="2"/>
        <v>177</v>
      </c>
      <c r="C61" s="13" t="s">
        <v>3331</v>
      </c>
    </row>
    <row r="62" spans="1:11" x14ac:dyDescent="0.25">
      <c r="B62">
        <f t="shared" si="2"/>
        <v>178</v>
      </c>
      <c r="C62" s="13" t="s">
        <v>3332</v>
      </c>
    </row>
    <row r="63" spans="1:11" x14ac:dyDescent="0.25">
      <c r="B63">
        <f t="shared" si="2"/>
        <v>179</v>
      </c>
      <c r="C63" s="13" t="s">
        <v>3333</v>
      </c>
    </row>
    <row r="64" spans="1:11" x14ac:dyDescent="0.25">
      <c r="B64">
        <f t="shared" si="2"/>
        <v>180</v>
      </c>
      <c r="C64" s="13" t="s">
        <v>3334</v>
      </c>
    </row>
    <row r="65" spans="2:3" x14ac:dyDescent="0.25">
      <c r="B65">
        <f t="shared" si="2"/>
        <v>181</v>
      </c>
      <c r="C65" s="13" t="s">
        <v>3335</v>
      </c>
    </row>
    <row r="66" spans="2:3" x14ac:dyDescent="0.25">
      <c r="B66">
        <f t="shared" si="2"/>
        <v>182</v>
      </c>
      <c r="C66" s="13" t="s">
        <v>3336</v>
      </c>
    </row>
    <row r="67" spans="2:3" x14ac:dyDescent="0.25">
      <c r="B67">
        <f t="shared" si="2"/>
        <v>183</v>
      </c>
      <c r="C67" s="279" t="s">
        <v>3373</v>
      </c>
    </row>
    <row r="68" spans="2:3" x14ac:dyDescent="0.25">
      <c r="B68">
        <f t="shared" si="2"/>
        <v>184</v>
      </c>
      <c r="C68" s="13" t="s">
        <v>3337</v>
      </c>
    </row>
    <row r="69" spans="2:3" x14ac:dyDescent="0.25">
      <c r="B69">
        <f t="shared" si="2"/>
        <v>185</v>
      </c>
      <c r="C69" s="279" t="s">
        <v>3338</v>
      </c>
    </row>
    <row r="70" spans="2:3" x14ac:dyDescent="0.25">
      <c r="B70">
        <f t="shared" si="2"/>
        <v>186</v>
      </c>
      <c r="C70" s="279" t="s">
        <v>3374</v>
      </c>
    </row>
    <row r="71" spans="2:3" x14ac:dyDescent="0.25">
      <c r="B71">
        <f t="shared" si="2"/>
        <v>187</v>
      </c>
      <c r="C71" s="279" t="s">
        <v>3339</v>
      </c>
    </row>
    <row r="72" spans="2:3" x14ac:dyDescent="0.25">
      <c r="B72">
        <f t="shared" si="2"/>
        <v>188</v>
      </c>
      <c r="C72" s="13" t="s">
        <v>3340</v>
      </c>
    </row>
    <row r="73" spans="2:3" x14ac:dyDescent="0.25">
      <c r="B73">
        <f t="shared" si="2"/>
        <v>189</v>
      </c>
      <c r="C73" s="279" t="s">
        <v>3341</v>
      </c>
    </row>
    <row r="74" spans="2:3" x14ac:dyDescent="0.25">
      <c r="B74">
        <f t="shared" si="2"/>
        <v>190</v>
      </c>
      <c r="C74" s="279" t="s">
        <v>3342</v>
      </c>
    </row>
    <row r="75" spans="2:3" x14ac:dyDescent="0.25">
      <c r="B75">
        <f t="shared" si="2"/>
        <v>191</v>
      </c>
      <c r="C75" s="13" t="s">
        <v>3343</v>
      </c>
    </row>
    <row r="76" spans="2:3" x14ac:dyDescent="0.25">
      <c r="B76">
        <f t="shared" si="2"/>
        <v>192</v>
      </c>
      <c r="C76" s="279" t="s">
        <v>3344</v>
      </c>
    </row>
    <row r="77" spans="2:3" x14ac:dyDescent="0.25">
      <c r="B77">
        <f t="shared" si="2"/>
        <v>193</v>
      </c>
      <c r="C77" s="279" t="s">
        <v>3345</v>
      </c>
    </row>
    <row r="78" spans="2:3" x14ac:dyDescent="0.25">
      <c r="B78">
        <f t="shared" si="2"/>
        <v>194</v>
      </c>
      <c r="C78" s="13" t="s">
        <v>3346</v>
      </c>
    </row>
    <row r="79" spans="2:3" x14ac:dyDescent="0.25">
      <c r="B79">
        <f t="shared" si="2"/>
        <v>195</v>
      </c>
      <c r="C79" s="13" t="s">
        <v>3347</v>
      </c>
    </row>
    <row r="80" spans="2:3" x14ac:dyDescent="0.25">
      <c r="B80">
        <f t="shared" si="2"/>
        <v>196</v>
      </c>
      <c r="C80" s="13" t="s">
        <v>3348</v>
      </c>
    </row>
    <row r="81" spans="2:3" x14ac:dyDescent="0.25">
      <c r="B81">
        <f t="shared" si="2"/>
        <v>197</v>
      </c>
      <c r="C81" s="13" t="s">
        <v>3349</v>
      </c>
    </row>
    <row r="82" spans="2:3" x14ac:dyDescent="0.25">
      <c r="B82">
        <f t="shared" si="2"/>
        <v>198</v>
      </c>
      <c r="C82" s="279" t="s">
        <v>3350</v>
      </c>
    </row>
    <row r="83" spans="2:3" x14ac:dyDescent="0.25">
      <c r="B83">
        <f t="shared" si="2"/>
        <v>199</v>
      </c>
      <c r="C83" s="279" t="s">
        <v>3351</v>
      </c>
    </row>
    <row r="84" spans="2:3" x14ac:dyDescent="0.25">
      <c r="B84">
        <f t="shared" si="2"/>
        <v>200</v>
      </c>
      <c r="C84" s="279" t="s">
        <v>3352</v>
      </c>
    </row>
    <row r="85" spans="2:3" x14ac:dyDescent="0.25">
      <c r="B85">
        <f t="shared" si="2"/>
        <v>201</v>
      </c>
      <c r="C85" s="13" t="s">
        <v>3353</v>
      </c>
    </row>
    <row r="86" spans="2:3" x14ac:dyDescent="0.25">
      <c r="B86">
        <f t="shared" si="2"/>
        <v>202</v>
      </c>
      <c r="C86" s="13" t="s">
        <v>3354</v>
      </c>
    </row>
    <row r="87" spans="2:3" x14ac:dyDescent="0.25">
      <c r="B87">
        <f t="shared" si="2"/>
        <v>203</v>
      </c>
      <c r="C87" s="13" t="s">
        <v>3355</v>
      </c>
    </row>
    <row r="88" spans="2:3" x14ac:dyDescent="0.25">
      <c r="B88">
        <f t="shared" si="2"/>
        <v>204</v>
      </c>
      <c r="C88" s="13" t="s">
        <v>3356</v>
      </c>
    </row>
    <row r="89" spans="2:3" x14ac:dyDescent="0.25">
      <c r="B89">
        <f t="shared" si="2"/>
        <v>205</v>
      </c>
      <c r="C89" s="13" t="s">
        <v>3357</v>
      </c>
    </row>
    <row r="90" spans="2:3" x14ac:dyDescent="0.25">
      <c r="B90">
        <f t="shared" si="2"/>
        <v>206</v>
      </c>
      <c r="C90" s="13" t="s">
        <v>3358</v>
      </c>
    </row>
    <row r="91" spans="2:3" x14ac:dyDescent="0.25">
      <c r="B91">
        <f t="shared" si="2"/>
        <v>207</v>
      </c>
      <c r="C91" s="13" t="s">
        <v>3359</v>
      </c>
    </row>
    <row r="92" spans="2:3" x14ac:dyDescent="0.25">
      <c r="B92">
        <f t="shared" si="2"/>
        <v>208</v>
      </c>
      <c r="C92" s="13" t="s">
        <v>3360</v>
      </c>
    </row>
    <row r="93" spans="2:3" x14ac:dyDescent="0.25">
      <c r="B93">
        <f t="shared" si="2"/>
        <v>209</v>
      </c>
      <c r="C93" s="13" t="s">
        <v>3361</v>
      </c>
    </row>
    <row r="94" spans="2:3" x14ac:dyDescent="0.25">
      <c r="B94">
        <f t="shared" si="2"/>
        <v>210</v>
      </c>
      <c r="C94" s="13" t="s">
        <v>3362</v>
      </c>
    </row>
    <row r="95" spans="2:3" x14ac:dyDescent="0.25">
      <c r="B95">
        <f t="shared" si="2"/>
        <v>211</v>
      </c>
      <c r="C95" s="13" t="s">
        <v>3363</v>
      </c>
    </row>
    <row r="96" spans="2:3" x14ac:dyDescent="0.25">
      <c r="B96">
        <f t="shared" si="2"/>
        <v>212</v>
      </c>
      <c r="C96" s="13" t="s">
        <v>3364</v>
      </c>
    </row>
    <row r="97" spans="2:3" x14ac:dyDescent="0.25">
      <c r="B97">
        <f t="shared" si="2"/>
        <v>213</v>
      </c>
      <c r="C97" s="13" t="s">
        <v>3365</v>
      </c>
    </row>
    <row r="98" spans="2:3" x14ac:dyDescent="0.25">
      <c r="B98">
        <f t="shared" si="2"/>
        <v>214</v>
      </c>
      <c r="C98" s="13" t="s">
        <v>3366</v>
      </c>
    </row>
    <row r="99" spans="2:3" x14ac:dyDescent="0.25">
      <c r="B99">
        <f t="shared" si="2"/>
        <v>215</v>
      </c>
      <c r="C99" s="13" t="s">
        <v>3367</v>
      </c>
    </row>
    <row r="100" spans="2:3" x14ac:dyDescent="0.25">
      <c r="B100">
        <f t="shared" si="2"/>
        <v>216</v>
      </c>
      <c r="C100" s="13" t="s">
        <v>3368</v>
      </c>
    </row>
    <row r="101" spans="2:3" x14ac:dyDescent="0.25">
      <c r="B101">
        <f t="shared" si="2"/>
        <v>217</v>
      </c>
      <c r="C101" s="13" t="s">
        <v>3369</v>
      </c>
    </row>
    <row r="102" spans="2:3" x14ac:dyDescent="0.25">
      <c r="B102">
        <f t="shared" si="2"/>
        <v>218</v>
      </c>
      <c r="C102" s="13" t="s">
        <v>3370</v>
      </c>
    </row>
    <row r="103" spans="2:3" x14ac:dyDescent="0.25">
      <c r="B103">
        <f t="shared" si="2"/>
        <v>219</v>
      </c>
      <c r="C103" s="13" t="s">
        <v>3371</v>
      </c>
    </row>
  </sheetData>
  <hyperlinks>
    <hyperlink ref="C58" r:id="rId1" display="https://www.argentina.gob.ar/sites/default/files/sala_7_mayo.pdf" xr:uid="{F41FBD9A-120B-48A3-A44B-63ED0EE1C41A}"/>
    <hyperlink ref="C60" r:id="rId2" display="https://health-infobase.canada.ca/covid-19/epidemiological-summary-covid-19-cases.html" xr:uid="{4973B62C-5C71-4D0F-BCEB-25B65FBA542C}"/>
    <hyperlink ref="C61" r:id="rId3" display="https://www.alberta.ca/stats/covid-19-alberta-statistics.htm" xr:uid="{FCAF3D68-D200-4F20-A803-B1ADFD805BAE}"/>
    <hyperlink ref="C62" r:id="rId4" display="http://www.bccdc.ca/Health-Info-Site/Documents/BC_Surveillance_Summary_June_3_2020.pdf" xr:uid="{E5621680-DA4E-4B88-B834-D43251BB6A4A}"/>
    <hyperlink ref="C63" r:id="rId5" display="https://www.publichealthontario.ca/en/data-and-analysis/infectious-disease/covid-19-data-surveillance/covid-19-data-tool" xr:uid="{E6553F94-FF37-4D06-AA55-67D2E4D2D96C}"/>
    <hyperlink ref="C64" r:id="rId6" display="https://www.quebec.ca/en/health/health-issues/a-z/2019-coronavirus/situation-coronavirus-in-quebec/" xr:uid="{F6876B60-4493-4C74-BB27-D1DAE52F62AB}"/>
    <hyperlink ref="C65" r:id="rId7" display="https://www.minsal.cl/22-informe-epidemiologico-covid-19/" xr:uid="{2BA89A60-341F-49C0-81B9-466EA74724BC}"/>
    <hyperlink ref="C66" r:id="rId8" xr:uid="{324ED030-3C80-4FE7-823A-791103EB69E2}"/>
    <hyperlink ref="C68" r:id="rId9" display="https://www.ins.gov.co/Noticias/Paginas/Coronavirus.aspx" xr:uid="{5A853269-2644-4D20-A3C9-C9F4AAA0AACC}"/>
    <hyperlink ref="C72" r:id="rId10" xr:uid="{7CFAE01D-021D-49F1-B532-08C9CE63FEDD}"/>
    <hyperlink ref="C75" r:id="rId11" display="https://toyokeizai.net/sp/visual/tko/covid19/en" xr:uid="{FF06108A-7160-41BD-88CF-E9A9CC8CB446}"/>
    <hyperlink ref="C78" r:id="rId12" display="https://www.fhi.no/en/id/infectious-diseases/coronavirus/daily-reports/daily-reports-COVID19/" xr:uid="{0170E50D-6ADB-49CB-9D9F-D764D0339717}"/>
    <hyperlink ref="C79" r:id="rId13" display="https://www.doh.gov.ph/covid19tracker" xr:uid="{1B9520F2-AEC4-4926-907D-5ED891AAA5A3}"/>
    <hyperlink ref="C80" r:id="rId14" display="https://covid19.min-saude.pt/wp-content/uploads/2020/06/94_DGS_boletim_20200604.pdf" xr:uid="{38593DF0-F190-43B9-9791-BADDF817FD8A}"/>
    <hyperlink ref="C81" r:id="rId15" display="https://sacoronavirus.co.za/2020/05/29/update-on-covid-19-28th-may-2020/" xr:uid="{060B3678-3794-406E-8F72-1628CD72ABEC}"/>
    <hyperlink ref="C85" r:id="rId16" display="https://datawrapper.dwcdn.net/IJC8v/78" xr:uid="{6382A190-6B18-48AC-99FE-4A16B263CAD7}"/>
    <hyperlink ref="C86" r:id="rId17" display="https://covid19.colorado.gov/data/case-data" xr:uid="{22D1B9A5-F015-43D7-8451-506667C15016}"/>
    <hyperlink ref="C87" r:id="rId18" display="https://data.ct.gov/Health-and-Human-Services/COVID-19-confirmed-cases-and-deaths-by-age-group/ypz6-8qyf" xr:uid="{8096B881-B5B4-4B06-B450-E0B3FAE9602F}"/>
    <hyperlink ref="C88" r:id="rId19" display="https://dph.georgia.gov/covid-19-daily-status-report" xr:uid="{85DF1D04-D1C9-49FD-9870-8AEE4182705F}"/>
    <hyperlink ref="C89" r:id="rId20" location="!/vizhome/DPHIdahoCOVID-19Dashboard_V2/Story1" display="https://public.tableau.com/profile/idaho.division.of.public.health - !/vizhome/DPHIdahoCOVID-19Dashboard_V2/Story1" xr:uid="{7BFE3950-B8B4-41FC-97D7-872353452F8F}"/>
    <hyperlink ref="C90" r:id="rId21" display="https://hub.mph.in.gov/dataset/covid-19-case-demographics" xr:uid="{7C8A4AC1-FB2F-49EB-B6B8-A5210A83618A}"/>
    <hyperlink ref="C91" r:id="rId22" location="/543ac64bc40445918cf8bc34dc40e334" display="https://kygeonet.maps.arcgis.com/apps/opsdashboard/index.html - /543ac64bc40445918cf8bc34dc40e334" xr:uid="{1C022809-C96C-43EF-8544-5BC85D749F51}"/>
    <hyperlink ref="C92" r:id="rId23" display="https://coronavirus.maryland.gov/" xr:uid="{7A223CBB-CD93-43D5-929E-D1F4AE2A73C2}"/>
    <hyperlink ref="C93" r:id="rId24" display="https://www.mass.gov/info-details/covid-19-response-reporting" xr:uid="{09FD2E3C-5792-4982-AAEC-87C56981DE28}"/>
    <hyperlink ref="C94" r:id="rId25" display="https://www.health.state.mn.us/diseases/coronavirus/stats/covidweekly10.pdf" xr:uid="{6730A16E-5C39-49EA-82BE-1C08BD23DCDD}"/>
    <hyperlink ref="C95" r:id="rId26" location="Mississippi" display="https://msdh.ms.gov/msdhsite/_static/14,0,420.html - Mississippi" xr:uid="{AB960E90-CC67-4B6E-A513-7E2F4B224163}"/>
    <hyperlink ref="C96" r:id="rId27" display="http://mophep.maps.arcgis.com/apps/MapSeries/index.html?appid=8e01a5d8d8bd4b4f85add006f9e14a9d" xr:uid="{B0FF3386-D251-4504-B26C-21F7F3DB9CF6}"/>
    <hyperlink ref="C97" r:id="rId28" display="https://app.powerbigov.us/view?r=eyJrIjoiMjA2ZThiOWUtM2FlNS00MGY5LWFmYjUtNmQwNTQ3Nzg5N2I2IiwidCI6ImU0YTM0MGU2LWI4OWUtNGU2OC04ZWFhLTE1NDRkMjcwMzk4MCJ9" xr:uid="{924AAF4E-3D75-42B1-95D3-4DF782F61701}"/>
    <hyperlink ref="C98" r:id="rId29" display="https://www.dhhs.nh.gov/dphs/cdcs/covid19/covid-weekly-report-05112020.pdf" xr:uid="{3EAE6AD8-1264-4BB4-9972-5D377FCE5AE7}"/>
    <hyperlink ref="C99" r:id="rId30" display="https://govstatus.egov.com/OR-OHA-COVID-19" xr:uid="{6CA30B5E-8005-4495-8D63-CDB557CC4D7A}"/>
    <hyperlink ref="C100" r:id="rId31" display="https://dshs.texas.gov/coronavirus/additionaldata" xr:uid="{6C1CF7DD-4675-44B5-AFC9-20D35D35BBF9}"/>
    <hyperlink ref="C101" r:id="rId32" location="!/vizhome/VirginiaCOVID-19Dashboard/Demographics" display="https://public.tableau.com/profile/vdh.population.health - !/vizhome/VirginiaCOVID-19Dashboard/Demographics" xr:uid="{E243D4DE-164D-4857-AF11-6B8F1DE51757}"/>
    <hyperlink ref="C102" r:id="rId33" display="https://www.doh.wa.gov/emergencies/coronavirus" xr:uid="{782DD6D3-EDD0-4368-A5DD-1FBEEAC0D5A8}"/>
    <hyperlink ref="C103" r:id="rId34" display="https://www.dhs.wisconsin.gov/covid-19/deaths.htm" xr:uid="{6ABA4C40-F96A-405F-B52B-CD0B802B0B04}"/>
  </hyperlinks>
  <pageMargins left="0.7" right="0.7" top="0.75" bottom="0.75" header="0.3" footer="0.3"/>
  <pageSetup orientation="portrait" horizontalDpi="0" verticalDpi="0" r:id="rId3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746E6-67EA-4C71-B90E-E922A903EBFD}">
  <dimension ref="A1:U110"/>
  <sheetViews>
    <sheetView topLeftCell="A21" workbookViewId="0">
      <selection activeCell="A29" sqref="A29"/>
    </sheetView>
  </sheetViews>
  <sheetFormatPr defaultRowHeight="15" x14ac:dyDescent="0.25"/>
  <cols>
    <col min="1" max="1" width="19.85546875" customWidth="1"/>
    <col min="3" max="3" width="32.5703125" customWidth="1"/>
    <col min="6" max="6" width="9.5703125" bestFit="1" customWidth="1"/>
    <col min="9" max="9" width="29.85546875" customWidth="1"/>
    <col min="10" max="10" width="7.28515625" customWidth="1"/>
    <col min="11" max="11" width="8.42578125" bestFit="1" customWidth="1"/>
    <col min="12" max="12" width="7.5703125" bestFit="1" customWidth="1"/>
    <col min="15" max="15" width="6.7109375" bestFit="1" customWidth="1"/>
    <col min="16" max="16" width="8.42578125" bestFit="1" customWidth="1"/>
    <col min="17" max="17" width="6.5703125" bestFit="1" customWidth="1"/>
    <col min="18" max="18" width="9.140625" bestFit="1" customWidth="1"/>
    <col min="19" max="19" width="8.28515625" bestFit="1" customWidth="1"/>
    <col min="20" max="20" width="6.5703125" bestFit="1" customWidth="1"/>
    <col min="21" max="21" width="10.140625" bestFit="1" customWidth="1"/>
  </cols>
  <sheetData>
    <row r="1" spans="1:5" x14ac:dyDescent="0.25">
      <c r="A1" s="31" t="s">
        <v>4547</v>
      </c>
      <c r="D1" s="33"/>
    </row>
    <row r="2" spans="1:5" x14ac:dyDescent="0.25">
      <c r="A2" s="31" t="s">
        <v>4540</v>
      </c>
      <c r="D2" s="33"/>
    </row>
    <row r="3" spans="1:5" ht="30" x14ac:dyDescent="0.25">
      <c r="A3" s="28"/>
      <c r="B3" s="355" t="s">
        <v>4544</v>
      </c>
      <c r="C3" s="28" t="s">
        <v>4545</v>
      </c>
      <c r="D3" s="33"/>
      <c r="E3" s="28" t="s">
        <v>1464</v>
      </c>
    </row>
    <row r="4" spans="1:5" x14ac:dyDescent="0.25">
      <c r="B4" s="87">
        <v>1</v>
      </c>
      <c r="C4" t="s">
        <v>4548</v>
      </c>
      <c r="D4" s="33"/>
      <c r="E4" s="28" t="s">
        <v>1450</v>
      </c>
    </row>
    <row r="5" spans="1:5" x14ac:dyDescent="0.25">
      <c r="B5" s="30">
        <v>6</v>
      </c>
      <c r="C5" t="s">
        <v>4549</v>
      </c>
      <c r="D5" s="33"/>
      <c r="E5" s="28" t="s">
        <v>1441</v>
      </c>
    </row>
    <row r="6" spans="1:5" x14ac:dyDescent="0.25">
      <c r="B6" s="30">
        <v>7</v>
      </c>
      <c r="C6" t="s">
        <v>4550</v>
      </c>
      <c r="D6" s="33"/>
      <c r="E6" s="28" t="s">
        <v>1443</v>
      </c>
    </row>
    <row r="7" spans="1:5" x14ac:dyDescent="0.25">
      <c r="B7" s="30">
        <v>24</v>
      </c>
      <c r="C7" t="s">
        <v>4551</v>
      </c>
      <c r="D7" s="33"/>
      <c r="E7" s="28" t="s">
        <v>1443</v>
      </c>
    </row>
    <row r="8" spans="1:5" x14ac:dyDescent="0.25">
      <c r="B8" s="30">
        <v>27</v>
      </c>
      <c r="C8" t="s">
        <v>4552</v>
      </c>
      <c r="D8" s="33"/>
      <c r="E8" s="28" t="s">
        <v>1444</v>
      </c>
    </row>
    <row r="9" spans="1:5" x14ac:dyDescent="0.25">
      <c r="B9" s="30">
        <v>88</v>
      </c>
      <c r="C9" t="s">
        <v>4553</v>
      </c>
      <c r="D9" s="33"/>
      <c r="E9" s="28" t="s">
        <v>1445</v>
      </c>
    </row>
    <row r="10" spans="1:5" x14ac:dyDescent="0.25">
      <c r="B10" s="30">
        <v>92</v>
      </c>
      <c r="C10" t="s">
        <v>4554</v>
      </c>
      <c r="D10" s="33"/>
      <c r="E10" s="28" t="s">
        <v>1442</v>
      </c>
    </row>
    <row r="11" spans="1:5" x14ac:dyDescent="0.25">
      <c r="B11" s="30">
        <v>106</v>
      </c>
      <c r="C11" t="s">
        <v>4555</v>
      </c>
      <c r="D11" s="33"/>
      <c r="E11" s="28" t="s">
        <v>1446</v>
      </c>
    </row>
    <row r="12" spans="1:5" x14ac:dyDescent="0.25">
      <c r="B12" s="30">
        <v>107</v>
      </c>
      <c r="C12" t="s">
        <v>4573</v>
      </c>
      <c r="D12" s="33"/>
      <c r="E12" s="28" t="s">
        <v>1446</v>
      </c>
    </row>
    <row r="13" spans="1:5" x14ac:dyDescent="0.25">
      <c r="B13" s="30">
        <v>289</v>
      </c>
      <c r="C13" t="s">
        <v>4556</v>
      </c>
      <c r="D13" s="33"/>
      <c r="E13" s="28" t="s">
        <v>1447</v>
      </c>
    </row>
    <row r="14" spans="1:5" x14ac:dyDescent="0.25">
      <c r="B14" s="30">
        <v>543</v>
      </c>
      <c r="C14" t="s">
        <v>4574</v>
      </c>
      <c r="D14" s="33"/>
      <c r="E14" s="28" t="s">
        <v>1448</v>
      </c>
    </row>
    <row r="15" spans="1:5" x14ac:dyDescent="0.25">
      <c r="B15" s="30">
        <v>899</v>
      </c>
      <c r="C15" t="s">
        <v>4557</v>
      </c>
      <c r="D15" s="33"/>
      <c r="E15" s="28" t="s">
        <v>1449</v>
      </c>
    </row>
    <row r="16" spans="1:5" x14ac:dyDescent="0.25">
      <c r="B16" s="30">
        <v>1128</v>
      </c>
      <c r="C16" t="s">
        <v>4558</v>
      </c>
      <c r="D16" s="33"/>
    </row>
    <row r="17" spans="1:9" x14ac:dyDescent="0.25">
      <c r="B17" s="30">
        <v>1547</v>
      </c>
      <c r="C17" t="s">
        <v>4559</v>
      </c>
      <c r="D17" s="33"/>
    </row>
    <row r="18" spans="1:9" x14ac:dyDescent="0.25">
      <c r="B18" s="30">
        <v>2535</v>
      </c>
      <c r="C18" t="s">
        <v>4560</v>
      </c>
      <c r="D18" s="33"/>
    </row>
    <row r="19" spans="1:9" x14ac:dyDescent="0.25">
      <c r="B19" s="30">
        <v>3825</v>
      </c>
      <c r="C19" t="s">
        <v>4561</v>
      </c>
      <c r="D19" s="33"/>
    </row>
    <row r="20" spans="1:9" x14ac:dyDescent="0.25">
      <c r="B20" s="30">
        <v>8248</v>
      </c>
      <c r="C20" t="s">
        <v>4562</v>
      </c>
      <c r="D20" s="33"/>
    </row>
    <row r="21" spans="1:9" x14ac:dyDescent="0.25">
      <c r="B21" s="30">
        <v>8571</v>
      </c>
      <c r="C21" t="s">
        <v>4563</v>
      </c>
      <c r="D21" s="33"/>
    </row>
    <row r="22" spans="1:9" x14ac:dyDescent="0.25">
      <c r="B22" s="30">
        <v>13394</v>
      </c>
      <c r="C22" t="s">
        <v>4564</v>
      </c>
      <c r="D22" s="33"/>
    </row>
    <row r="23" spans="1:9" x14ac:dyDescent="0.25">
      <c r="B23" s="30">
        <v>29334</v>
      </c>
      <c r="C23" t="s">
        <v>4565</v>
      </c>
      <c r="D23" s="33"/>
    </row>
    <row r="24" spans="1:9" x14ac:dyDescent="0.25">
      <c r="B24" s="30">
        <v>58669</v>
      </c>
      <c r="C24" t="s">
        <v>4566</v>
      </c>
      <c r="D24" s="33"/>
    </row>
    <row r="25" spans="1:9" x14ac:dyDescent="0.25">
      <c r="B25" s="30">
        <v>59507</v>
      </c>
      <c r="C25" t="s">
        <v>4567</v>
      </c>
      <c r="D25" s="33"/>
    </row>
    <row r="26" spans="1:9" x14ac:dyDescent="0.25">
      <c r="B26" s="30">
        <v>63113</v>
      </c>
      <c r="C26" t="s">
        <v>4568</v>
      </c>
      <c r="D26" s="33"/>
    </row>
    <row r="27" spans="1:9" x14ac:dyDescent="0.25">
      <c r="B27" s="30">
        <v>86781</v>
      </c>
      <c r="C27" t="s">
        <v>4569</v>
      </c>
      <c r="D27" s="33"/>
    </row>
    <row r="28" spans="1:9" x14ac:dyDescent="0.25">
      <c r="B28" s="30">
        <v>138849</v>
      </c>
      <c r="C28" t="s">
        <v>4575</v>
      </c>
      <c r="D28" s="33"/>
    </row>
    <row r="29" spans="1:9" x14ac:dyDescent="0.25">
      <c r="D29" s="33"/>
    </row>
    <row r="30" spans="1:9" x14ac:dyDescent="0.25">
      <c r="B30" s="30"/>
      <c r="C30" s="30"/>
      <c r="D30" s="89"/>
      <c r="E30" s="48"/>
      <c r="F30" s="76"/>
      <c r="G30" s="34"/>
      <c r="H30" s="354"/>
      <c r="I30" s="30"/>
    </row>
    <row r="31" spans="1:9" x14ac:dyDescent="0.25">
      <c r="A31" t="s">
        <v>4577</v>
      </c>
      <c r="H31" s="88">
        <v>0.15</v>
      </c>
      <c r="I31" t="s">
        <v>4591</v>
      </c>
    </row>
    <row r="32" spans="1:9" ht="45" x14ac:dyDescent="0.25">
      <c r="A32" s="79" t="s">
        <v>1469</v>
      </c>
      <c r="B32" s="42" t="s">
        <v>4544</v>
      </c>
      <c r="C32" s="42" t="s">
        <v>3434</v>
      </c>
      <c r="E32" s="358" t="s">
        <v>1776</v>
      </c>
      <c r="F32" s="358" t="s">
        <v>4570</v>
      </c>
      <c r="G32" s="42" t="s">
        <v>1495</v>
      </c>
      <c r="H32" s="42" t="s">
        <v>4592</v>
      </c>
      <c r="I32" s="358"/>
    </row>
    <row r="33" spans="1:9" x14ac:dyDescent="0.25">
      <c r="A33" t="s">
        <v>4582</v>
      </c>
      <c r="B33" s="30">
        <f t="shared" ref="B33" si="0">1/(H33)</f>
        <v>6.666666666666667</v>
      </c>
      <c r="C33" s="30" t="str">
        <f>VLOOKUP(B33,B$4:C$28, 2)</f>
        <v>1. Heart disease</v>
      </c>
      <c r="E33" s="359">
        <v>0</v>
      </c>
      <c r="F33" s="360">
        <v>1</v>
      </c>
      <c r="G33" s="34">
        <f t="shared" ref="G33" si="1">F33</f>
        <v>1</v>
      </c>
      <c r="H33" s="354">
        <f>G33*H$31</f>
        <v>0.15</v>
      </c>
      <c r="I33" s="359"/>
    </row>
    <row r="34" spans="1:9" x14ac:dyDescent="0.25">
      <c r="A34" t="s">
        <v>4582</v>
      </c>
      <c r="B34" s="30">
        <f t="shared" ref="B34:B42" si="2">1/(H34)</f>
        <v>10.582010582010582</v>
      </c>
      <c r="C34" s="30" t="str">
        <f t="shared" ref="C34:C42" si="3">VLOOKUP(B34,B$4:C$28, 2)</f>
        <v>2. Cancer</v>
      </c>
      <c r="E34" s="359">
        <v>1</v>
      </c>
      <c r="F34" s="361">
        <v>0.63</v>
      </c>
      <c r="G34" s="34">
        <f t="shared" ref="G34:G42" si="4">F34</f>
        <v>0.63</v>
      </c>
      <c r="H34" s="354">
        <f t="shared" ref="H34:H42" si="5">G34*H$31</f>
        <v>9.4500000000000001E-2</v>
      </c>
      <c r="I34" s="359"/>
    </row>
    <row r="35" spans="1:9" x14ac:dyDescent="0.25">
      <c r="A35" t="s">
        <v>4582</v>
      </c>
      <c r="B35" s="30">
        <f t="shared" si="2"/>
        <v>16.666666666666668</v>
      </c>
      <c r="C35" s="30" t="str">
        <f t="shared" si="3"/>
        <v>2. Cancer</v>
      </c>
      <c r="E35" s="359">
        <v>2</v>
      </c>
      <c r="F35" s="361">
        <v>0.4</v>
      </c>
      <c r="G35" s="34">
        <f t="shared" si="4"/>
        <v>0.4</v>
      </c>
      <c r="H35" s="354">
        <f t="shared" si="5"/>
        <v>0.06</v>
      </c>
      <c r="I35" s="359"/>
    </row>
    <row r="36" spans="1:9" x14ac:dyDescent="0.25">
      <c r="A36" t="s">
        <v>4582</v>
      </c>
      <c r="B36" s="30">
        <f t="shared" si="2"/>
        <v>41.666666666666664</v>
      </c>
      <c r="C36" s="30" t="str">
        <f t="shared" si="3"/>
        <v>4. Chronic lower respiratory disease</v>
      </c>
      <c r="E36" s="359">
        <v>4</v>
      </c>
      <c r="F36" s="361">
        <v>0.16</v>
      </c>
      <c r="G36" s="34">
        <f t="shared" si="4"/>
        <v>0.16</v>
      </c>
      <c r="H36" s="354">
        <f t="shared" si="5"/>
        <v>2.4E-2</v>
      </c>
      <c r="I36" s="359"/>
    </row>
    <row r="37" spans="1:9" x14ac:dyDescent="0.25">
      <c r="A37" t="s">
        <v>4582</v>
      </c>
      <c r="B37" s="30">
        <f t="shared" si="2"/>
        <v>111.11111111111111</v>
      </c>
      <c r="C37" s="30" t="str">
        <f t="shared" si="3"/>
        <v>8. Motor vehicle crash</v>
      </c>
      <c r="E37" s="359">
        <v>6</v>
      </c>
      <c r="F37" s="361">
        <v>0.06</v>
      </c>
      <c r="G37" s="34">
        <f t="shared" si="4"/>
        <v>0.06</v>
      </c>
      <c r="H37" s="354">
        <f t="shared" si="5"/>
        <v>8.9999999999999993E-3</v>
      </c>
      <c r="I37" s="359"/>
    </row>
    <row r="38" spans="1:9" x14ac:dyDescent="0.25">
      <c r="A38" t="s">
        <v>4582</v>
      </c>
      <c r="B38" s="30">
        <f t="shared" si="2"/>
        <v>333.33333333333331</v>
      </c>
      <c r="C38" s="30" t="str">
        <f t="shared" si="3"/>
        <v>9. Gun assault</v>
      </c>
      <c r="E38" s="359">
        <v>8</v>
      </c>
      <c r="F38" s="361">
        <v>0.02</v>
      </c>
      <c r="G38" s="34">
        <f t="shared" si="4"/>
        <v>0.02</v>
      </c>
      <c r="H38" s="354">
        <f t="shared" si="5"/>
        <v>3.0000000000000001E-3</v>
      </c>
      <c r="I38" s="359"/>
    </row>
    <row r="39" spans="1:9" x14ac:dyDescent="0.25">
      <c r="A39" t="s">
        <v>4582</v>
      </c>
      <c r="B39" s="30">
        <f t="shared" si="2"/>
        <v>666.66666666666663</v>
      </c>
      <c r="C39" s="30" t="str">
        <f t="shared" si="3"/>
        <v>10. Pedestrian incident</v>
      </c>
      <c r="E39" s="359">
        <v>10</v>
      </c>
      <c r="F39" s="361">
        <v>0.01</v>
      </c>
      <c r="G39" s="34">
        <f t="shared" si="4"/>
        <v>0.01</v>
      </c>
      <c r="H39" s="354">
        <f t="shared" si="5"/>
        <v>1.5E-3</v>
      </c>
      <c r="I39" s="359"/>
    </row>
    <row r="40" spans="1:9" x14ac:dyDescent="0.25">
      <c r="A40" t="s">
        <v>4582</v>
      </c>
      <c r="B40" s="30">
        <f t="shared" si="2"/>
        <v>1709.4017094017097</v>
      </c>
      <c r="C40" s="30" t="str">
        <f t="shared" si="3"/>
        <v>13. Fire or smoke</v>
      </c>
      <c r="E40" s="359">
        <v>12</v>
      </c>
      <c r="F40" s="362">
        <v>3.8999999999999998E-3</v>
      </c>
      <c r="G40" s="34">
        <f t="shared" si="4"/>
        <v>3.8999999999999998E-3</v>
      </c>
      <c r="H40" s="354">
        <f t="shared" si="5"/>
        <v>5.8499999999999991E-4</v>
      </c>
      <c r="I40" s="359"/>
    </row>
    <row r="41" spans="1:9" x14ac:dyDescent="0.25">
      <c r="A41" t="s">
        <v>4582</v>
      </c>
      <c r="B41" s="30">
        <f t="shared" si="2"/>
        <v>6666.666666666667</v>
      </c>
      <c r="C41" s="30" t="str">
        <f t="shared" si="3"/>
        <v>15. Bicyclist</v>
      </c>
      <c r="E41" s="359">
        <v>15</v>
      </c>
      <c r="F41" s="362">
        <v>1E-3</v>
      </c>
      <c r="G41" s="34">
        <f t="shared" si="4"/>
        <v>1E-3</v>
      </c>
      <c r="H41" s="354">
        <f t="shared" si="5"/>
        <v>1.4999999999999999E-4</v>
      </c>
      <c r="I41" s="359"/>
    </row>
    <row r="42" spans="1:9" x14ac:dyDescent="0.25">
      <c r="A42" t="s">
        <v>4582</v>
      </c>
      <c r="B42" s="30">
        <f t="shared" si="2"/>
        <v>66666.666666666672</v>
      </c>
      <c r="C42" s="30" t="str">
        <f t="shared" si="3"/>
        <v>22. Hot surfaces and substances</v>
      </c>
      <c r="E42" s="359">
        <v>20</v>
      </c>
      <c r="F42" s="362">
        <v>1E-4</v>
      </c>
      <c r="G42" s="34">
        <f t="shared" si="4"/>
        <v>1E-4</v>
      </c>
      <c r="H42" s="354">
        <f t="shared" si="5"/>
        <v>1.5E-5</v>
      </c>
      <c r="I42" s="359"/>
    </row>
    <row r="43" spans="1:9" x14ac:dyDescent="0.25">
      <c r="B43" s="30"/>
      <c r="C43" s="30"/>
      <c r="E43" s="358">
        <v>50</v>
      </c>
      <c r="F43" s="363" t="s">
        <v>290</v>
      </c>
      <c r="G43" s="359"/>
      <c r="H43" s="360"/>
      <c r="I43" s="359"/>
    </row>
    <row r="44" spans="1:9" x14ac:dyDescent="0.25">
      <c r="A44" t="s">
        <v>4572</v>
      </c>
    </row>
    <row r="45" spans="1:9" ht="75" x14ac:dyDescent="0.25">
      <c r="A45" s="79" t="s">
        <v>1469</v>
      </c>
      <c r="B45" s="42" t="s">
        <v>4544</v>
      </c>
      <c r="C45" s="42" t="s">
        <v>3434</v>
      </c>
      <c r="E45" s="358" t="s">
        <v>1776</v>
      </c>
      <c r="F45" s="358" t="s">
        <v>4571</v>
      </c>
      <c r="G45" s="42" t="s">
        <v>1495</v>
      </c>
      <c r="H45" s="42" t="s">
        <v>4592</v>
      </c>
    </row>
    <row r="46" spans="1:9" x14ac:dyDescent="0.25">
      <c r="A46" t="s">
        <v>4582</v>
      </c>
      <c r="B46" s="30">
        <f t="shared" ref="B46:B55" si="6">1/(H46)</f>
        <v>6.666666666666667</v>
      </c>
      <c r="C46" s="30" t="str">
        <f>VLOOKUP(B46,B$4:C$28, 2)</f>
        <v>1. Heart disease</v>
      </c>
      <c r="E46" s="359">
        <v>0</v>
      </c>
      <c r="F46" s="360">
        <v>1</v>
      </c>
      <c r="G46" s="34">
        <f t="shared" ref="G46:G56" si="7">F46</f>
        <v>1</v>
      </c>
      <c r="H46" s="354">
        <f t="shared" ref="H46:H56" si="8">G46*H$31</f>
        <v>0.15</v>
      </c>
    </row>
    <row r="47" spans="1:9" x14ac:dyDescent="0.25">
      <c r="A47" t="s">
        <v>4582</v>
      </c>
      <c r="B47" s="30">
        <f t="shared" si="6"/>
        <v>6.666666666666667</v>
      </c>
      <c r="C47" s="30" t="str">
        <f t="shared" ref="C47:C56" si="9">VLOOKUP(B47,B$4:C$28, 2)</f>
        <v>1. Heart disease</v>
      </c>
      <c r="E47" s="359">
        <v>1</v>
      </c>
      <c r="F47" s="360">
        <v>1</v>
      </c>
      <c r="G47" s="34">
        <f t="shared" si="7"/>
        <v>1</v>
      </c>
      <c r="H47" s="354">
        <f t="shared" si="8"/>
        <v>0.15</v>
      </c>
    </row>
    <row r="48" spans="1:9" x14ac:dyDescent="0.25">
      <c r="A48" t="s">
        <v>4582</v>
      </c>
      <c r="B48" s="30">
        <f t="shared" si="6"/>
        <v>13.333333333333334</v>
      </c>
      <c r="C48" s="30" t="str">
        <f t="shared" si="9"/>
        <v>2. Cancer</v>
      </c>
      <c r="E48" s="359">
        <v>2</v>
      </c>
      <c r="F48" s="360">
        <v>0.5</v>
      </c>
      <c r="G48" s="34">
        <f t="shared" si="7"/>
        <v>0.5</v>
      </c>
      <c r="H48" s="354">
        <f t="shared" si="8"/>
        <v>7.4999999999999997E-2</v>
      </c>
    </row>
    <row r="49" spans="1:21" x14ac:dyDescent="0.25">
      <c r="A49" t="s">
        <v>4582</v>
      </c>
      <c r="B49" s="30">
        <f t="shared" si="6"/>
        <v>26.666666666666668</v>
      </c>
      <c r="C49" s="30" t="str">
        <f t="shared" si="9"/>
        <v>3. All preventable causes of death</v>
      </c>
      <c r="E49" s="359">
        <v>4</v>
      </c>
      <c r="F49" s="360">
        <v>0.25</v>
      </c>
      <c r="G49" s="34">
        <f t="shared" si="7"/>
        <v>0.25</v>
      </c>
      <c r="H49" s="354">
        <f t="shared" si="8"/>
        <v>3.7499999999999999E-2</v>
      </c>
    </row>
    <row r="50" spans="1:21" x14ac:dyDescent="0.25">
      <c r="A50" t="s">
        <v>4582</v>
      </c>
      <c r="B50" s="30">
        <f t="shared" si="6"/>
        <v>39.2156862745098</v>
      </c>
      <c r="C50" s="30" t="str">
        <f t="shared" si="9"/>
        <v>4. Chronic lower respiratory disease</v>
      </c>
      <c r="E50" s="359">
        <v>6</v>
      </c>
      <c r="F50" s="360">
        <v>0.17</v>
      </c>
      <c r="G50" s="34">
        <f t="shared" si="7"/>
        <v>0.17</v>
      </c>
      <c r="H50" s="354">
        <f t="shared" si="8"/>
        <v>2.5500000000000002E-2</v>
      </c>
    </row>
    <row r="51" spans="1:21" x14ac:dyDescent="0.25">
      <c r="A51" t="s">
        <v>4582</v>
      </c>
      <c r="B51" s="30">
        <f t="shared" si="6"/>
        <v>51.282051282051285</v>
      </c>
      <c r="C51" s="30" t="str">
        <f t="shared" si="9"/>
        <v>4. Chronic lower respiratory disease</v>
      </c>
      <c r="E51" s="359">
        <v>8</v>
      </c>
      <c r="F51" s="360">
        <v>0.13</v>
      </c>
      <c r="G51" s="34">
        <f t="shared" si="7"/>
        <v>0.13</v>
      </c>
      <c r="H51" s="354">
        <f t="shared" si="8"/>
        <v>1.95E-2</v>
      </c>
    </row>
    <row r="52" spans="1:21" x14ac:dyDescent="0.25">
      <c r="A52" t="s">
        <v>4582</v>
      </c>
      <c r="B52" s="30">
        <f t="shared" si="6"/>
        <v>66.666666666666671</v>
      </c>
      <c r="C52" s="30" t="str">
        <f t="shared" si="9"/>
        <v>4. Chronic lower respiratory disease</v>
      </c>
      <c r="E52" s="359">
        <v>10</v>
      </c>
      <c r="F52" s="360">
        <v>0.1</v>
      </c>
      <c r="G52" s="34">
        <f t="shared" si="7"/>
        <v>0.1</v>
      </c>
      <c r="H52" s="354">
        <f t="shared" si="8"/>
        <v>1.4999999999999999E-2</v>
      </c>
    </row>
    <row r="53" spans="1:21" x14ac:dyDescent="0.25">
      <c r="A53" t="s">
        <v>4582</v>
      </c>
      <c r="B53" s="30">
        <f t="shared" si="6"/>
        <v>83.333333333333329</v>
      </c>
      <c r="C53" s="30" t="str">
        <f t="shared" si="9"/>
        <v>4. Chronic lower respiratory disease</v>
      </c>
      <c r="E53" s="359">
        <v>12</v>
      </c>
      <c r="F53" s="360">
        <v>0.08</v>
      </c>
      <c r="G53" s="34">
        <f t="shared" si="7"/>
        <v>0.08</v>
      </c>
      <c r="H53" s="354">
        <f t="shared" si="8"/>
        <v>1.2E-2</v>
      </c>
    </row>
    <row r="54" spans="1:21" x14ac:dyDescent="0.25">
      <c r="A54" t="s">
        <v>4582</v>
      </c>
      <c r="B54" s="30">
        <f t="shared" si="6"/>
        <v>95.238095238095227</v>
      </c>
      <c r="C54" s="30" t="str">
        <f t="shared" si="9"/>
        <v>6. Opioid overdose</v>
      </c>
      <c r="E54" s="359">
        <v>15</v>
      </c>
      <c r="F54" s="360">
        <v>7.0000000000000007E-2</v>
      </c>
      <c r="G54" s="34">
        <f t="shared" si="7"/>
        <v>7.0000000000000007E-2</v>
      </c>
      <c r="H54" s="354">
        <f t="shared" si="8"/>
        <v>1.0500000000000001E-2</v>
      </c>
    </row>
    <row r="55" spans="1:21" x14ac:dyDescent="0.25">
      <c r="A55" t="s">
        <v>4582</v>
      </c>
      <c r="B55" s="30">
        <f t="shared" si="6"/>
        <v>133.33333333333334</v>
      </c>
      <c r="C55" s="30" t="str">
        <f t="shared" si="9"/>
        <v>8. Motor vehicle crash</v>
      </c>
      <c r="E55" s="359">
        <v>20</v>
      </c>
      <c r="F55" s="360">
        <v>0.05</v>
      </c>
      <c r="G55" s="34">
        <f t="shared" si="7"/>
        <v>0.05</v>
      </c>
      <c r="H55" s="354">
        <f t="shared" si="8"/>
        <v>7.4999999999999997E-3</v>
      </c>
    </row>
    <row r="56" spans="1:21" x14ac:dyDescent="0.25">
      <c r="A56" t="s">
        <v>4582</v>
      </c>
      <c r="B56" s="30">
        <f t="shared" ref="B56" si="10">1/(H56)</f>
        <v>333.33333333333331</v>
      </c>
      <c r="C56" s="30" t="str">
        <f t="shared" si="9"/>
        <v>9. Gun assault</v>
      </c>
      <c r="E56" s="358">
        <v>50</v>
      </c>
      <c r="F56" s="360">
        <v>0.02</v>
      </c>
      <c r="G56" s="34">
        <f t="shared" si="7"/>
        <v>0.02</v>
      </c>
      <c r="H56" s="354">
        <f t="shared" si="8"/>
        <v>3.0000000000000001E-3</v>
      </c>
    </row>
    <row r="58" spans="1:21" x14ac:dyDescent="0.25">
      <c r="A58" t="s">
        <v>4576</v>
      </c>
    </row>
    <row r="60" spans="1:21" s="2" customFormat="1" ht="45" x14ac:dyDescent="0.25">
      <c r="A60" s="79" t="s">
        <v>1469</v>
      </c>
      <c r="B60" s="42" t="s">
        <v>4544</v>
      </c>
      <c r="C60" s="42" t="s">
        <v>3434</v>
      </c>
      <c r="D60" s="42"/>
      <c r="E60" s="42" t="s">
        <v>861</v>
      </c>
      <c r="F60" s="42" t="s">
        <v>1455</v>
      </c>
      <c r="G60" s="42" t="s">
        <v>1495</v>
      </c>
      <c r="H60" s="42" t="s">
        <v>4592</v>
      </c>
      <c r="I60" s="42" t="s">
        <v>275</v>
      </c>
      <c r="J60" s="42" t="s">
        <v>1476</v>
      </c>
      <c r="K60" s="86" t="s">
        <v>4546</v>
      </c>
      <c r="L60" s="42" t="s">
        <v>1460</v>
      </c>
      <c r="M60" s="42" t="s">
        <v>1470</v>
      </c>
      <c r="N60" s="42" t="s">
        <v>1458</v>
      </c>
      <c r="O60" s="42" t="s">
        <v>1456</v>
      </c>
      <c r="P60" s="42" t="s">
        <v>1475</v>
      </c>
      <c r="Q60" s="42" t="s">
        <v>1453</v>
      </c>
      <c r="R60" s="42" t="s">
        <v>1457</v>
      </c>
      <c r="S60" s="42" t="s">
        <v>1467</v>
      </c>
      <c r="T60" s="42" t="s">
        <v>275</v>
      </c>
      <c r="U60" s="42" t="s">
        <v>1459</v>
      </c>
    </row>
    <row r="61" spans="1:21" x14ac:dyDescent="0.25">
      <c r="A61" t="s">
        <v>3832</v>
      </c>
      <c r="B61" s="30">
        <f t="shared" ref="B61:B71" si="11">1/(H61)</f>
        <v>6.666666666666667</v>
      </c>
      <c r="C61" s="30" t="str">
        <f t="shared" ref="C61" si="12">VLOOKUP(B61,B$4:C$28, 2)</f>
        <v>1. Heart disease</v>
      </c>
      <c r="D61" s="30"/>
      <c r="E61" s="48">
        <v>1E-4</v>
      </c>
      <c r="F61" s="76">
        <f t="shared" ref="F61:F71" si="13">(1-EXP(-Q61/R61))</f>
        <v>1</v>
      </c>
      <c r="G61" s="34">
        <f t="shared" ref="G61:G71" si="14">F61</f>
        <v>1</v>
      </c>
      <c r="H61" s="354">
        <f t="shared" ref="H61:H71" si="15">G61*H$31</f>
        <v>0.15</v>
      </c>
      <c r="I61" s="89" t="s">
        <v>239</v>
      </c>
      <c r="J61">
        <f t="shared" ref="J61" si="16">P61/3600</f>
        <v>1</v>
      </c>
      <c r="K61" s="31">
        <v>1</v>
      </c>
      <c r="L61" s="29">
        <v>10800</v>
      </c>
      <c r="M61" s="30" t="s">
        <v>1472</v>
      </c>
      <c r="N61" s="28">
        <v>366</v>
      </c>
      <c r="O61" s="77">
        <v>0.02</v>
      </c>
      <c r="P61" s="28">
        <v>3600</v>
      </c>
      <c r="Q61" s="30">
        <v>26352</v>
      </c>
      <c r="R61" s="30">
        <f t="shared" ref="R61" si="17">U61*12*12*12/3600</f>
        <v>0.51840000000000008</v>
      </c>
      <c r="S61" s="77" t="s">
        <v>1468</v>
      </c>
      <c r="T61" s="89" t="s">
        <v>239</v>
      </c>
      <c r="U61" s="30">
        <f t="shared" ref="U61:U71" si="18">L61*E61</f>
        <v>1.08</v>
      </c>
    </row>
    <row r="62" spans="1:21" x14ac:dyDescent="0.25">
      <c r="A62" t="s">
        <v>3832</v>
      </c>
      <c r="B62" s="30">
        <f t="shared" si="11"/>
        <v>6.7082525362432843</v>
      </c>
      <c r="C62" s="30" t="str">
        <f t="shared" ref="C62:C66" si="19">VLOOKUP(B62,B$4:C$28, 2)</f>
        <v>1. Heart disease</v>
      </c>
      <c r="D62" s="30"/>
      <c r="E62" s="48">
        <v>1</v>
      </c>
      <c r="F62" s="76">
        <f t="shared" si="13"/>
        <v>0.99380078949742301</v>
      </c>
      <c r="G62" s="34">
        <f t="shared" si="14"/>
        <v>0.99380078949742301</v>
      </c>
      <c r="H62" s="354">
        <f t="shared" si="15"/>
        <v>0.14907011842461346</v>
      </c>
      <c r="I62" s="89" t="s">
        <v>239</v>
      </c>
      <c r="J62">
        <f t="shared" ref="J62:J66" si="20">P62/3600</f>
        <v>1</v>
      </c>
      <c r="K62" s="31">
        <v>1</v>
      </c>
      <c r="L62" s="29">
        <v>10800</v>
      </c>
      <c r="M62" s="30" t="s">
        <v>1472</v>
      </c>
      <c r="N62" s="28">
        <v>366</v>
      </c>
      <c r="O62" s="77">
        <v>0.02</v>
      </c>
      <c r="P62" s="28">
        <v>3600</v>
      </c>
      <c r="Q62" s="30">
        <v>26352</v>
      </c>
      <c r="R62" s="30">
        <f t="shared" ref="R62:R66" si="21">U62*12*12*12/3600</f>
        <v>5184</v>
      </c>
      <c r="S62" s="77" t="s">
        <v>1468</v>
      </c>
      <c r="T62" s="89" t="s">
        <v>239</v>
      </c>
      <c r="U62" s="30">
        <f t="shared" si="18"/>
        <v>10800</v>
      </c>
    </row>
    <row r="63" spans="1:21" x14ac:dyDescent="0.25">
      <c r="A63" t="s">
        <v>3832</v>
      </c>
      <c r="B63" s="30">
        <f t="shared" si="11"/>
        <v>7.2364272375109921</v>
      </c>
      <c r="C63" s="30" t="str">
        <f t="shared" si="19"/>
        <v>2. Cancer</v>
      </c>
      <c r="D63" s="30"/>
      <c r="E63" s="48">
        <v>2</v>
      </c>
      <c r="F63" s="76">
        <f t="shared" si="13"/>
        <v>0.92126493473313809</v>
      </c>
      <c r="G63" s="34">
        <f t="shared" si="14"/>
        <v>0.92126493473313809</v>
      </c>
      <c r="H63" s="354">
        <f t="shared" si="15"/>
        <v>0.13818974020997071</v>
      </c>
      <c r="I63" s="89" t="s">
        <v>239</v>
      </c>
      <c r="J63">
        <f t="shared" si="20"/>
        <v>1</v>
      </c>
      <c r="K63" s="31">
        <v>1</v>
      </c>
      <c r="L63" s="29">
        <v>10800</v>
      </c>
      <c r="M63" s="30" t="s">
        <v>1472</v>
      </c>
      <c r="N63" s="28">
        <v>366</v>
      </c>
      <c r="O63" s="77">
        <v>0.02</v>
      </c>
      <c r="P63" s="28">
        <v>3600</v>
      </c>
      <c r="Q63" s="30">
        <v>26352</v>
      </c>
      <c r="R63" s="30">
        <f t="shared" si="21"/>
        <v>10368</v>
      </c>
      <c r="S63" s="77" t="s">
        <v>1468</v>
      </c>
      <c r="T63" s="89" t="s">
        <v>239</v>
      </c>
      <c r="U63" s="30">
        <f t="shared" si="18"/>
        <v>21600</v>
      </c>
    </row>
    <row r="64" spans="1:21" x14ac:dyDescent="0.25">
      <c r="A64" t="s">
        <v>3832</v>
      </c>
      <c r="B64" s="30">
        <f t="shared" si="11"/>
        <v>9.2669520252734259</v>
      </c>
      <c r="C64" s="30" t="str">
        <f t="shared" si="19"/>
        <v>2. Cancer</v>
      </c>
      <c r="D64" s="30"/>
      <c r="E64" s="48">
        <v>4</v>
      </c>
      <c r="F64" s="76">
        <f t="shared" si="13"/>
        <v>0.71940230708920316</v>
      </c>
      <c r="G64" s="34">
        <f t="shared" si="14"/>
        <v>0.71940230708920316</v>
      </c>
      <c r="H64" s="354">
        <f t="shared" si="15"/>
        <v>0.10791034606338047</v>
      </c>
      <c r="I64" s="89" t="s">
        <v>239</v>
      </c>
      <c r="J64">
        <f t="shared" si="20"/>
        <v>1</v>
      </c>
      <c r="K64" s="31">
        <v>1</v>
      </c>
      <c r="L64" s="29">
        <v>10800</v>
      </c>
      <c r="M64" s="30" t="s">
        <v>1472</v>
      </c>
      <c r="N64" s="28">
        <v>366</v>
      </c>
      <c r="O64" s="77">
        <v>0.02</v>
      </c>
      <c r="P64" s="28">
        <v>3600</v>
      </c>
      <c r="Q64" s="30">
        <v>26352</v>
      </c>
      <c r="R64" s="30">
        <f t="shared" si="21"/>
        <v>20736</v>
      </c>
      <c r="S64" s="77" t="s">
        <v>1468</v>
      </c>
      <c r="T64" s="89" t="s">
        <v>239</v>
      </c>
      <c r="U64" s="30">
        <f t="shared" si="18"/>
        <v>43200</v>
      </c>
    </row>
    <row r="65" spans="1:21" x14ac:dyDescent="0.25">
      <c r="A65" t="s">
        <v>3832</v>
      </c>
      <c r="B65" s="30">
        <f t="shared" si="11"/>
        <v>11.667328563190736</v>
      </c>
      <c r="C65" s="30" t="str">
        <f t="shared" si="19"/>
        <v>2. Cancer</v>
      </c>
      <c r="D65" s="30"/>
      <c r="E65" s="48">
        <v>6</v>
      </c>
      <c r="F65" s="76">
        <f t="shared" si="13"/>
        <v>0.57139615384616305</v>
      </c>
      <c r="G65" s="34">
        <f t="shared" si="14"/>
        <v>0.57139615384616305</v>
      </c>
      <c r="H65" s="354">
        <f t="shared" si="15"/>
        <v>8.570942307692446E-2</v>
      </c>
      <c r="I65" s="89" t="s">
        <v>239</v>
      </c>
      <c r="J65">
        <f t="shared" si="20"/>
        <v>1</v>
      </c>
      <c r="K65" s="31">
        <v>1</v>
      </c>
      <c r="L65" s="29">
        <v>10800</v>
      </c>
      <c r="M65" s="30" t="s">
        <v>1472</v>
      </c>
      <c r="N65" s="28">
        <v>366</v>
      </c>
      <c r="O65" s="77">
        <v>0.02</v>
      </c>
      <c r="P65" s="28">
        <v>3600</v>
      </c>
      <c r="Q65" s="30">
        <v>26352</v>
      </c>
      <c r="R65" s="30">
        <f t="shared" si="21"/>
        <v>31104</v>
      </c>
      <c r="S65" s="77" t="s">
        <v>1468</v>
      </c>
      <c r="T65" s="89" t="s">
        <v>239</v>
      </c>
      <c r="U65" s="30">
        <f t="shared" si="18"/>
        <v>64800</v>
      </c>
    </row>
    <row r="66" spans="1:21" x14ac:dyDescent="0.25">
      <c r="A66" t="s">
        <v>3832</v>
      </c>
      <c r="B66" s="30">
        <f t="shared" si="11"/>
        <v>14.175792995424095</v>
      </c>
      <c r="C66" s="30" t="str">
        <f t="shared" si="19"/>
        <v>2. Cancer</v>
      </c>
      <c r="D66" s="30"/>
      <c r="E66" s="48">
        <v>8</v>
      </c>
      <c r="F66" s="76">
        <f t="shared" si="13"/>
        <v>0.47028527214094107</v>
      </c>
      <c r="G66" s="34">
        <f t="shared" si="14"/>
        <v>0.47028527214094107</v>
      </c>
      <c r="H66" s="354">
        <f t="shared" si="15"/>
        <v>7.0542790821141163E-2</v>
      </c>
      <c r="I66" s="89" t="s">
        <v>239</v>
      </c>
      <c r="J66">
        <f t="shared" si="20"/>
        <v>1</v>
      </c>
      <c r="K66" s="31">
        <v>1</v>
      </c>
      <c r="L66" s="29">
        <v>10800</v>
      </c>
      <c r="M66" s="30" t="s">
        <v>1472</v>
      </c>
      <c r="N66" s="28">
        <v>366</v>
      </c>
      <c r="O66" s="77">
        <v>0.02</v>
      </c>
      <c r="P66" s="28">
        <v>3600</v>
      </c>
      <c r="Q66" s="30">
        <v>26352</v>
      </c>
      <c r="R66" s="30">
        <f t="shared" si="21"/>
        <v>41472</v>
      </c>
      <c r="S66" s="77" t="s">
        <v>1468</v>
      </c>
      <c r="T66" s="89" t="s">
        <v>239</v>
      </c>
      <c r="U66" s="30">
        <f t="shared" si="18"/>
        <v>86400</v>
      </c>
    </row>
    <row r="67" spans="1:21" x14ac:dyDescent="0.25">
      <c r="A67" t="s">
        <v>3832</v>
      </c>
      <c r="B67" s="30">
        <f t="shared" si="11"/>
        <v>16.729286026331685</v>
      </c>
      <c r="C67" s="30" t="str">
        <f t="shared" ref="C67:C71" si="22">VLOOKUP(B67,B$4:C$28, 2)</f>
        <v>2. Cancer</v>
      </c>
      <c r="D67" s="30"/>
      <c r="E67" s="48">
        <v>10</v>
      </c>
      <c r="F67" s="76">
        <f t="shared" si="13"/>
        <v>0.39850276073787116</v>
      </c>
      <c r="G67" s="34">
        <f t="shared" si="14"/>
        <v>0.39850276073787116</v>
      </c>
      <c r="H67" s="354">
        <f t="shared" si="15"/>
        <v>5.9775414110680672E-2</v>
      </c>
      <c r="I67" s="89" t="s">
        <v>239</v>
      </c>
      <c r="J67">
        <f t="shared" ref="J67:J71" si="23">P67/3600</f>
        <v>1</v>
      </c>
      <c r="K67" s="31">
        <v>1</v>
      </c>
      <c r="L67" s="29">
        <v>10800</v>
      </c>
      <c r="M67" s="30" t="s">
        <v>1472</v>
      </c>
      <c r="N67" s="28">
        <v>366</v>
      </c>
      <c r="O67" s="77">
        <v>0.02</v>
      </c>
      <c r="P67" s="28">
        <v>3600</v>
      </c>
      <c r="Q67" s="30">
        <v>26352</v>
      </c>
      <c r="R67" s="30">
        <f t="shared" ref="R67:R71" si="24">U67*12*12*12/3600</f>
        <v>51840</v>
      </c>
      <c r="S67" s="77" t="s">
        <v>1468</v>
      </c>
      <c r="T67" s="89" t="s">
        <v>239</v>
      </c>
      <c r="U67" s="30">
        <f t="shared" si="18"/>
        <v>108000</v>
      </c>
    </row>
    <row r="68" spans="1:21" x14ac:dyDescent="0.25">
      <c r="A68" t="s">
        <v>3832</v>
      </c>
      <c r="B68" s="30">
        <f t="shared" si="11"/>
        <v>19.305676904303152</v>
      </c>
      <c r="C68" s="30" t="str">
        <f t="shared" si="22"/>
        <v>2. Cancer</v>
      </c>
      <c r="D68" s="30"/>
      <c r="E68" s="48">
        <v>12</v>
      </c>
      <c r="F68" s="76">
        <f t="shared" si="13"/>
        <v>0.34532157042267164</v>
      </c>
      <c r="G68" s="34">
        <f t="shared" si="14"/>
        <v>0.34532157042267164</v>
      </c>
      <c r="H68" s="354">
        <f t="shared" si="15"/>
        <v>5.1798235563400748E-2</v>
      </c>
      <c r="I68" s="89" t="s">
        <v>239</v>
      </c>
      <c r="J68">
        <f t="shared" si="23"/>
        <v>1</v>
      </c>
      <c r="K68" s="31">
        <v>1</v>
      </c>
      <c r="L68" s="29">
        <v>10800</v>
      </c>
      <c r="M68" s="30" t="s">
        <v>1472</v>
      </c>
      <c r="N68" s="28">
        <v>366</v>
      </c>
      <c r="O68" s="77">
        <v>0.02</v>
      </c>
      <c r="P68" s="28">
        <v>3600</v>
      </c>
      <c r="Q68" s="30">
        <v>26352</v>
      </c>
      <c r="R68" s="30">
        <f t="shared" si="24"/>
        <v>62208</v>
      </c>
      <c r="S68" s="77" t="s">
        <v>1468</v>
      </c>
      <c r="T68" s="89" t="s">
        <v>239</v>
      </c>
      <c r="U68" s="30">
        <f t="shared" si="18"/>
        <v>129600</v>
      </c>
    </row>
    <row r="69" spans="1:21" x14ac:dyDescent="0.25">
      <c r="A69" t="s">
        <v>3832</v>
      </c>
      <c r="B69" s="30">
        <f t="shared" si="11"/>
        <v>23.193376698722115</v>
      </c>
      <c r="C69" s="30" t="str">
        <f t="shared" si="22"/>
        <v>2. Cancer</v>
      </c>
      <c r="D69" s="30"/>
      <c r="E69" s="48">
        <v>15</v>
      </c>
      <c r="F69" s="76">
        <f t="shared" si="13"/>
        <v>0.28743838179604009</v>
      </c>
      <c r="G69" s="34">
        <f t="shared" si="14"/>
        <v>0.28743838179604009</v>
      </c>
      <c r="H69" s="354">
        <f t="shared" si="15"/>
        <v>4.3115757269406009E-2</v>
      </c>
      <c r="I69" s="89" t="s">
        <v>239</v>
      </c>
      <c r="J69">
        <f t="shared" si="23"/>
        <v>1</v>
      </c>
      <c r="K69" s="31">
        <v>1</v>
      </c>
      <c r="L69" s="29">
        <v>10800</v>
      </c>
      <c r="M69" s="30" t="s">
        <v>1472</v>
      </c>
      <c r="N69" s="28">
        <v>366</v>
      </c>
      <c r="O69" s="77">
        <v>0.02</v>
      </c>
      <c r="P69" s="28">
        <v>3600</v>
      </c>
      <c r="Q69" s="30">
        <v>26352</v>
      </c>
      <c r="R69" s="30">
        <f t="shared" si="24"/>
        <v>77760</v>
      </c>
      <c r="S69" s="77" t="s">
        <v>1468</v>
      </c>
      <c r="T69" s="89" t="s">
        <v>239</v>
      </c>
      <c r="U69" s="30">
        <f t="shared" si="18"/>
        <v>162000</v>
      </c>
    </row>
    <row r="70" spans="1:21" x14ac:dyDescent="0.25">
      <c r="A70" t="s">
        <v>3832</v>
      </c>
      <c r="B70" s="30">
        <f t="shared" si="11"/>
        <v>29.703893436266622</v>
      </c>
      <c r="C70" s="30" t="str">
        <f t="shared" si="22"/>
        <v>4. Chronic lower respiratory disease</v>
      </c>
      <c r="D70" s="30"/>
      <c r="E70" s="48">
        <v>20</v>
      </c>
      <c r="F70" s="76">
        <f t="shared" si="13"/>
        <v>0.22443746914763296</v>
      </c>
      <c r="G70" s="34">
        <f t="shared" si="14"/>
        <v>0.22443746914763296</v>
      </c>
      <c r="H70" s="354">
        <f t="shared" si="15"/>
        <v>3.366562037214494E-2</v>
      </c>
      <c r="I70" s="89" t="s">
        <v>239</v>
      </c>
      <c r="J70">
        <f t="shared" si="23"/>
        <v>1</v>
      </c>
      <c r="K70" s="31">
        <v>1</v>
      </c>
      <c r="L70" s="29">
        <v>10800</v>
      </c>
      <c r="M70" s="30" t="s">
        <v>1472</v>
      </c>
      <c r="N70" s="28">
        <v>366</v>
      </c>
      <c r="O70" s="77">
        <v>0.02</v>
      </c>
      <c r="P70" s="28">
        <v>3600</v>
      </c>
      <c r="Q70" s="30">
        <v>26352</v>
      </c>
      <c r="R70" s="30">
        <f t="shared" si="24"/>
        <v>103680</v>
      </c>
      <c r="S70" s="77" t="s">
        <v>1468</v>
      </c>
      <c r="T70" s="89" t="s">
        <v>239</v>
      </c>
      <c r="U70" s="30">
        <f t="shared" si="18"/>
        <v>216000</v>
      </c>
    </row>
    <row r="71" spans="1:21" x14ac:dyDescent="0.25">
      <c r="A71" t="s">
        <v>3832</v>
      </c>
      <c r="B71" s="30">
        <f t="shared" si="11"/>
        <v>68.963575579030902</v>
      </c>
      <c r="C71" s="30" t="str">
        <f t="shared" si="22"/>
        <v>4. Chronic lower respiratory disease</v>
      </c>
      <c r="D71" s="30"/>
      <c r="E71" s="48">
        <v>50</v>
      </c>
      <c r="F71" s="76">
        <f t="shared" si="13"/>
        <v>9.6669388306683701E-2</v>
      </c>
      <c r="G71" s="34">
        <f t="shared" si="14"/>
        <v>9.6669388306683701E-2</v>
      </c>
      <c r="H71" s="354">
        <f t="shared" si="15"/>
        <v>1.4500408246002554E-2</v>
      </c>
      <c r="I71" s="89" t="s">
        <v>239</v>
      </c>
      <c r="J71">
        <f t="shared" si="23"/>
        <v>1</v>
      </c>
      <c r="K71" s="31">
        <v>1</v>
      </c>
      <c r="L71" s="29">
        <v>10800</v>
      </c>
      <c r="M71" s="30" t="s">
        <v>1472</v>
      </c>
      <c r="N71" s="28">
        <v>366</v>
      </c>
      <c r="O71" s="77">
        <v>0.02</v>
      </c>
      <c r="P71" s="28">
        <v>3600</v>
      </c>
      <c r="Q71" s="30">
        <v>26352</v>
      </c>
      <c r="R71" s="30">
        <f t="shared" si="24"/>
        <v>259200</v>
      </c>
      <c r="S71" s="77" t="s">
        <v>1468</v>
      </c>
      <c r="T71" s="89" t="s">
        <v>239</v>
      </c>
      <c r="U71" s="30">
        <f t="shared" si="18"/>
        <v>540000</v>
      </c>
    </row>
    <row r="73" spans="1:21" x14ac:dyDescent="0.25">
      <c r="A73" t="s">
        <v>3833</v>
      </c>
      <c r="B73" s="30">
        <f t="shared" ref="B73:B83" si="25">1/(H73)</f>
        <v>6.666666666666667</v>
      </c>
      <c r="C73" s="30" t="str">
        <f t="shared" ref="C73:C83" si="26">VLOOKUP(B73,B$4:C$28, 2)</f>
        <v>1. Heart disease</v>
      </c>
      <c r="D73" s="30"/>
      <c r="E73" s="48">
        <v>1E-4</v>
      </c>
      <c r="F73" s="76">
        <f t="shared" ref="F73:F83" si="27">(1-EXP(-Q73/R73))</f>
        <v>1</v>
      </c>
      <c r="G73" s="34">
        <f t="shared" ref="G73:G83" si="28">F73</f>
        <v>1</v>
      </c>
      <c r="H73" s="354">
        <f t="shared" ref="H73:H83" si="29">G73*H$31</f>
        <v>0.15</v>
      </c>
      <c r="I73" s="89" t="s">
        <v>239</v>
      </c>
      <c r="J73">
        <f t="shared" ref="J73:J83" si="30">P73/3600</f>
        <v>1</v>
      </c>
      <c r="K73" s="31">
        <v>1</v>
      </c>
      <c r="L73" s="29">
        <v>400000</v>
      </c>
      <c r="M73" s="30" t="s">
        <v>1472</v>
      </c>
      <c r="N73" s="28">
        <v>366</v>
      </c>
      <c r="O73" s="77">
        <v>0.02</v>
      </c>
      <c r="P73" s="28">
        <v>3600</v>
      </c>
      <c r="Q73" s="30">
        <v>26352</v>
      </c>
      <c r="R73" s="30">
        <f t="shared" ref="R73:R83" si="31">U73*12*12*12/3600</f>
        <v>19.2</v>
      </c>
      <c r="S73" s="77" t="s">
        <v>1468</v>
      </c>
      <c r="T73" s="89" t="s">
        <v>239</v>
      </c>
      <c r="U73" s="30">
        <f t="shared" ref="U73:U83" si="32">L73*E73</f>
        <v>40</v>
      </c>
    </row>
    <row r="74" spans="1:21" x14ac:dyDescent="0.25">
      <c r="A74" t="s">
        <v>3833</v>
      </c>
      <c r="B74" s="30">
        <f t="shared" si="25"/>
        <v>51.98272273192476</v>
      </c>
      <c r="C74" s="30" t="str">
        <f t="shared" si="26"/>
        <v>4. Chronic lower respiratory disease</v>
      </c>
      <c r="D74" s="30"/>
      <c r="E74" s="48">
        <v>1</v>
      </c>
      <c r="F74" s="76">
        <f t="shared" si="27"/>
        <v>0.12824773917762466</v>
      </c>
      <c r="G74" s="34">
        <f t="shared" si="28"/>
        <v>0.12824773917762466</v>
      </c>
      <c r="H74" s="354">
        <f t="shared" si="29"/>
        <v>1.9237160876643698E-2</v>
      </c>
      <c r="I74" s="89" t="s">
        <v>239</v>
      </c>
      <c r="J74">
        <f t="shared" si="30"/>
        <v>1</v>
      </c>
      <c r="K74" s="31">
        <v>1</v>
      </c>
      <c r="L74" s="29">
        <v>400000</v>
      </c>
      <c r="M74" s="30" t="s">
        <v>1472</v>
      </c>
      <c r="N74" s="28">
        <v>366</v>
      </c>
      <c r="O74" s="77">
        <v>0.02</v>
      </c>
      <c r="P74" s="28">
        <v>3600</v>
      </c>
      <c r="Q74" s="30">
        <v>26352</v>
      </c>
      <c r="R74" s="30">
        <f t="shared" si="31"/>
        <v>192000</v>
      </c>
      <c r="S74" s="77" t="s">
        <v>1468</v>
      </c>
      <c r="T74" s="89" t="s">
        <v>239</v>
      </c>
      <c r="U74" s="30">
        <f t="shared" si="32"/>
        <v>400000</v>
      </c>
    </row>
    <row r="75" spans="1:21" x14ac:dyDescent="0.25">
      <c r="A75" t="s">
        <v>3833</v>
      </c>
      <c r="B75" s="30">
        <f t="shared" si="25"/>
        <v>100.51778199576685</v>
      </c>
      <c r="C75" s="30" t="str">
        <f t="shared" si="26"/>
        <v>6. Opioid overdose</v>
      </c>
      <c r="D75" s="30"/>
      <c r="E75" s="48">
        <v>2</v>
      </c>
      <c r="F75" s="76">
        <f t="shared" si="27"/>
        <v>6.6323256784032725E-2</v>
      </c>
      <c r="G75" s="34">
        <f t="shared" si="28"/>
        <v>6.6323256784032725E-2</v>
      </c>
      <c r="H75" s="354">
        <f t="shared" si="29"/>
        <v>9.9484885176049087E-3</v>
      </c>
      <c r="I75" s="89" t="s">
        <v>239</v>
      </c>
      <c r="J75">
        <f t="shared" si="30"/>
        <v>1</v>
      </c>
      <c r="K75" s="31">
        <v>1</v>
      </c>
      <c r="L75" s="29">
        <v>400000</v>
      </c>
      <c r="M75" s="30" t="s">
        <v>1472</v>
      </c>
      <c r="N75" s="28">
        <v>366</v>
      </c>
      <c r="O75" s="77">
        <v>0.02</v>
      </c>
      <c r="P75" s="28">
        <v>3600</v>
      </c>
      <c r="Q75" s="30">
        <v>26352</v>
      </c>
      <c r="R75" s="30">
        <f t="shared" si="31"/>
        <v>384000</v>
      </c>
      <c r="S75" s="77" t="s">
        <v>1468</v>
      </c>
      <c r="T75" s="89" t="s">
        <v>239</v>
      </c>
      <c r="U75" s="30">
        <f t="shared" si="32"/>
        <v>800000</v>
      </c>
    </row>
    <row r="76" spans="1:21" x14ac:dyDescent="0.25">
      <c r="A76" t="s">
        <v>3833</v>
      </c>
      <c r="B76" s="30">
        <f t="shared" si="25"/>
        <v>197.64504876833726</v>
      </c>
      <c r="C76" s="30" t="str">
        <f t="shared" si="26"/>
        <v>8. Motor vehicle crash</v>
      </c>
      <c r="D76" s="30"/>
      <c r="E76" s="48">
        <v>4</v>
      </c>
      <c r="F76" s="76">
        <f t="shared" si="27"/>
        <v>3.37305017667342E-2</v>
      </c>
      <c r="G76" s="34">
        <f t="shared" si="28"/>
        <v>3.37305017667342E-2</v>
      </c>
      <c r="H76" s="354">
        <f t="shared" si="29"/>
        <v>5.0595752650101295E-3</v>
      </c>
      <c r="I76" s="89" t="s">
        <v>239</v>
      </c>
      <c r="J76">
        <f t="shared" si="30"/>
        <v>1</v>
      </c>
      <c r="K76" s="31">
        <v>1</v>
      </c>
      <c r="L76" s="29">
        <v>400000</v>
      </c>
      <c r="M76" s="30" t="s">
        <v>1472</v>
      </c>
      <c r="N76" s="28">
        <v>366</v>
      </c>
      <c r="O76" s="77">
        <v>0.02</v>
      </c>
      <c r="P76" s="28">
        <v>3600</v>
      </c>
      <c r="Q76" s="30">
        <v>26352</v>
      </c>
      <c r="R76" s="30">
        <f t="shared" si="31"/>
        <v>768000</v>
      </c>
      <c r="S76" s="77" t="s">
        <v>1468</v>
      </c>
      <c r="T76" s="89" t="s">
        <v>239</v>
      </c>
      <c r="U76" s="30">
        <f t="shared" si="32"/>
        <v>1600000</v>
      </c>
    </row>
    <row r="77" spans="1:21" x14ac:dyDescent="0.25">
      <c r="A77" t="s">
        <v>3833</v>
      </c>
      <c r="B77" s="30">
        <f t="shared" si="25"/>
        <v>294.78502151940711</v>
      </c>
      <c r="C77" s="30" t="str">
        <f t="shared" si="26"/>
        <v>9. Gun assault</v>
      </c>
      <c r="D77" s="30"/>
      <c r="E77" s="48">
        <v>6</v>
      </c>
      <c r="F77" s="76">
        <f t="shared" si="27"/>
        <v>2.2615350781070021E-2</v>
      </c>
      <c r="G77" s="34">
        <f t="shared" si="28"/>
        <v>2.2615350781070021E-2</v>
      </c>
      <c r="H77" s="354">
        <f t="shared" si="29"/>
        <v>3.3923026171605031E-3</v>
      </c>
      <c r="I77" s="89" t="s">
        <v>239</v>
      </c>
      <c r="J77">
        <f t="shared" si="30"/>
        <v>1</v>
      </c>
      <c r="K77" s="31">
        <v>1</v>
      </c>
      <c r="L77" s="29">
        <v>400000</v>
      </c>
      <c r="M77" s="30" t="s">
        <v>1472</v>
      </c>
      <c r="N77" s="28">
        <v>366</v>
      </c>
      <c r="O77" s="77">
        <v>0.02</v>
      </c>
      <c r="P77" s="28">
        <v>3600</v>
      </c>
      <c r="Q77" s="30">
        <v>26352</v>
      </c>
      <c r="R77" s="30">
        <f t="shared" si="31"/>
        <v>1152000</v>
      </c>
      <c r="S77" s="77" t="s">
        <v>1468</v>
      </c>
      <c r="T77" s="89" t="s">
        <v>239</v>
      </c>
      <c r="U77" s="30">
        <f t="shared" si="32"/>
        <v>2400000</v>
      </c>
    </row>
    <row r="78" spans="1:21" x14ac:dyDescent="0.25">
      <c r="A78" t="s">
        <v>3833</v>
      </c>
      <c r="B78" s="30">
        <f t="shared" si="25"/>
        <v>391.92817115467017</v>
      </c>
      <c r="C78" s="30" t="str">
        <f t="shared" si="26"/>
        <v>9. Gun assault</v>
      </c>
      <c r="D78" s="30"/>
      <c r="E78" s="48">
        <v>8</v>
      </c>
      <c r="F78" s="76">
        <f t="shared" si="27"/>
        <v>1.7009919565173948E-2</v>
      </c>
      <c r="G78" s="34">
        <f t="shared" si="28"/>
        <v>1.7009919565173948E-2</v>
      </c>
      <c r="H78" s="354">
        <f t="shared" si="29"/>
        <v>2.5514879347760919E-3</v>
      </c>
      <c r="I78" s="89" t="s">
        <v>239</v>
      </c>
      <c r="J78">
        <f t="shared" si="30"/>
        <v>1</v>
      </c>
      <c r="K78" s="31">
        <v>1</v>
      </c>
      <c r="L78" s="29">
        <v>400000</v>
      </c>
      <c r="M78" s="30" t="s">
        <v>1472</v>
      </c>
      <c r="N78" s="28">
        <v>366</v>
      </c>
      <c r="O78" s="77">
        <v>0.02</v>
      </c>
      <c r="P78" s="28">
        <v>3600</v>
      </c>
      <c r="Q78" s="30">
        <v>26352</v>
      </c>
      <c r="R78" s="30">
        <f t="shared" si="31"/>
        <v>1536000</v>
      </c>
      <c r="S78" s="77" t="s">
        <v>1468</v>
      </c>
      <c r="T78" s="89" t="s">
        <v>239</v>
      </c>
      <c r="U78" s="30">
        <f t="shared" si="32"/>
        <v>3200000</v>
      </c>
    </row>
    <row r="79" spans="1:21" x14ac:dyDescent="0.25">
      <c r="A79" t="s">
        <v>3833</v>
      </c>
      <c r="B79" s="30">
        <f t="shared" si="25"/>
        <v>489.07259158201288</v>
      </c>
      <c r="C79" s="30" t="str">
        <f t="shared" si="26"/>
        <v>9. Gun assault</v>
      </c>
      <c r="D79" s="30"/>
      <c r="E79" s="48">
        <v>10</v>
      </c>
      <c r="F79" s="76">
        <f t="shared" si="27"/>
        <v>1.3631241622234169E-2</v>
      </c>
      <c r="G79" s="34">
        <f t="shared" si="28"/>
        <v>1.3631241622234169E-2</v>
      </c>
      <c r="H79" s="354">
        <f t="shared" si="29"/>
        <v>2.0446862433351255E-3</v>
      </c>
      <c r="I79" s="89" t="s">
        <v>239</v>
      </c>
      <c r="J79">
        <f t="shared" si="30"/>
        <v>1</v>
      </c>
      <c r="K79" s="31">
        <v>1</v>
      </c>
      <c r="L79" s="29">
        <v>400000</v>
      </c>
      <c r="M79" s="30" t="s">
        <v>1472</v>
      </c>
      <c r="N79" s="28">
        <v>366</v>
      </c>
      <c r="O79" s="77">
        <v>0.02</v>
      </c>
      <c r="P79" s="28">
        <v>3600</v>
      </c>
      <c r="Q79" s="30">
        <v>26352</v>
      </c>
      <c r="R79" s="30">
        <f t="shared" si="31"/>
        <v>1920000</v>
      </c>
      <c r="S79" s="77" t="s">
        <v>1468</v>
      </c>
      <c r="T79" s="89" t="s">
        <v>239</v>
      </c>
      <c r="U79" s="30">
        <f t="shared" si="32"/>
        <v>4000000</v>
      </c>
    </row>
    <row r="80" spans="1:21" x14ac:dyDescent="0.25">
      <c r="A80" t="s">
        <v>3833</v>
      </c>
      <c r="B80" s="30">
        <f t="shared" si="25"/>
        <v>586.21764741328809</v>
      </c>
      <c r="C80" s="30" t="str">
        <f t="shared" si="26"/>
        <v>10. Pedestrian incident</v>
      </c>
      <c r="D80" s="30"/>
      <c r="E80" s="48">
        <v>12</v>
      </c>
      <c r="F80" s="76">
        <f t="shared" si="27"/>
        <v>1.1372340454238516E-2</v>
      </c>
      <c r="G80" s="34">
        <f t="shared" si="28"/>
        <v>1.1372340454238516E-2</v>
      </c>
      <c r="H80" s="354">
        <f t="shared" si="29"/>
        <v>1.7058510681357774E-3</v>
      </c>
      <c r="I80" s="89" t="s">
        <v>239</v>
      </c>
      <c r="J80">
        <f t="shared" si="30"/>
        <v>1</v>
      </c>
      <c r="K80" s="31">
        <v>1</v>
      </c>
      <c r="L80" s="29">
        <v>400000</v>
      </c>
      <c r="M80" s="30" t="s">
        <v>1472</v>
      </c>
      <c r="N80" s="28">
        <v>366</v>
      </c>
      <c r="O80" s="77">
        <v>0.02</v>
      </c>
      <c r="P80" s="28">
        <v>3600</v>
      </c>
      <c r="Q80" s="30">
        <v>26352</v>
      </c>
      <c r="R80" s="30">
        <f t="shared" si="31"/>
        <v>2304000</v>
      </c>
      <c r="S80" s="77" t="s">
        <v>1468</v>
      </c>
      <c r="T80" s="89" t="s">
        <v>239</v>
      </c>
      <c r="U80" s="30">
        <f t="shared" si="32"/>
        <v>4800000</v>
      </c>
    </row>
    <row r="81" spans="1:21" x14ac:dyDescent="0.25">
      <c r="A81" t="s">
        <v>3833</v>
      </c>
      <c r="B81" s="30">
        <f t="shared" si="25"/>
        <v>731.93586656849618</v>
      </c>
      <c r="C81" s="30" t="str">
        <f t="shared" si="26"/>
        <v>10. Pedestrian incident</v>
      </c>
      <c r="D81" s="30"/>
      <c r="E81" s="48">
        <v>15</v>
      </c>
      <c r="F81" s="76">
        <f t="shared" si="27"/>
        <v>9.108266135285481E-3</v>
      </c>
      <c r="G81" s="34">
        <f t="shared" si="28"/>
        <v>9.108266135285481E-3</v>
      </c>
      <c r="H81" s="354">
        <f t="shared" si="29"/>
        <v>1.3662399202928222E-3</v>
      </c>
      <c r="I81" s="89" t="s">
        <v>239</v>
      </c>
      <c r="J81">
        <f t="shared" si="30"/>
        <v>1</v>
      </c>
      <c r="K81" s="31">
        <v>1</v>
      </c>
      <c r="L81" s="29">
        <v>400000</v>
      </c>
      <c r="M81" s="30" t="s">
        <v>1472</v>
      </c>
      <c r="N81" s="28">
        <v>366</v>
      </c>
      <c r="O81" s="77">
        <v>0.02</v>
      </c>
      <c r="P81" s="28">
        <v>3600</v>
      </c>
      <c r="Q81" s="30">
        <v>26352</v>
      </c>
      <c r="R81" s="30">
        <f t="shared" si="31"/>
        <v>2880000</v>
      </c>
      <c r="S81" s="77" t="s">
        <v>1468</v>
      </c>
      <c r="T81" s="89" t="s">
        <v>239</v>
      </c>
      <c r="U81" s="30">
        <f t="shared" si="32"/>
        <v>6000000</v>
      </c>
    </row>
    <row r="82" spans="1:21" x14ac:dyDescent="0.25">
      <c r="A82" t="s">
        <v>3833</v>
      </c>
      <c r="B82" s="30">
        <f t="shared" si="25"/>
        <v>974.80041237557612</v>
      </c>
      <c r="C82" s="30" t="str">
        <f t="shared" si="26"/>
        <v>11. Motorcyclist</v>
      </c>
      <c r="D82" s="30"/>
      <c r="E82" s="48">
        <v>20</v>
      </c>
      <c r="F82" s="76">
        <f t="shared" si="27"/>
        <v>6.8390068182471175E-3</v>
      </c>
      <c r="G82" s="34">
        <f t="shared" si="28"/>
        <v>6.8390068182471175E-3</v>
      </c>
      <c r="H82" s="354">
        <f t="shared" si="29"/>
        <v>1.0258510227370676E-3</v>
      </c>
      <c r="I82" s="89" t="s">
        <v>239</v>
      </c>
      <c r="J82">
        <f t="shared" si="30"/>
        <v>1</v>
      </c>
      <c r="K82" s="31">
        <v>1</v>
      </c>
      <c r="L82" s="29">
        <v>400000</v>
      </c>
      <c r="M82" s="30" t="s">
        <v>1472</v>
      </c>
      <c r="N82" s="28">
        <v>366</v>
      </c>
      <c r="O82" s="77">
        <v>0.02</v>
      </c>
      <c r="P82" s="28">
        <v>3600</v>
      </c>
      <c r="Q82" s="30">
        <v>26352</v>
      </c>
      <c r="R82" s="30">
        <f t="shared" si="31"/>
        <v>3840000</v>
      </c>
      <c r="S82" s="77" t="s">
        <v>1468</v>
      </c>
      <c r="T82" s="89" t="s">
        <v>239</v>
      </c>
      <c r="U82" s="30">
        <f t="shared" si="32"/>
        <v>8000000</v>
      </c>
    </row>
    <row r="83" spans="1:21" x14ac:dyDescent="0.25">
      <c r="A83" t="s">
        <v>3833</v>
      </c>
      <c r="B83" s="30">
        <f t="shared" si="25"/>
        <v>2431.9930246962731</v>
      </c>
      <c r="C83" s="30" t="str">
        <f t="shared" si="26"/>
        <v>13. Fire or smoke</v>
      </c>
      <c r="D83" s="30"/>
      <c r="E83" s="48">
        <v>50</v>
      </c>
      <c r="F83" s="76">
        <f t="shared" si="27"/>
        <v>2.7412359324094915E-3</v>
      </c>
      <c r="G83" s="34">
        <f t="shared" si="28"/>
        <v>2.7412359324094915E-3</v>
      </c>
      <c r="H83" s="354">
        <f t="shared" si="29"/>
        <v>4.1118538986142369E-4</v>
      </c>
      <c r="I83" s="89" t="s">
        <v>239</v>
      </c>
      <c r="J83">
        <f t="shared" si="30"/>
        <v>1</v>
      </c>
      <c r="K83" s="31">
        <v>1</v>
      </c>
      <c r="L83" s="29">
        <v>400000</v>
      </c>
      <c r="M83" s="30" t="s">
        <v>1472</v>
      </c>
      <c r="N83" s="28">
        <v>366</v>
      </c>
      <c r="O83" s="77">
        <v>0.02</v>
      </c>
      <c r="P83" s="28">
        <v>3600</v>
      </c>
      <c r="Q83" s="30">
        <v>26352</v>
      </c>
      <c r="R83" s="30">
        <f t="shared" si="31"/>
        <v>9600000</v>
      </c>
      <c r="S83" s="77" t="s">
        <v>1468</v>
      </c>
      <c r="T83" s="89" t="s">
        <v>239</v>
      </c>
      <c r="U83" s="30">
        <f t="shared" si="32"/>
        <v>20000000</v>
      </c>
    </row>
    <row r="86" spans="1:21" s="42" customFormat="1" ht="135" x14ac:dyDescent="0.25">
      <c r="E86" s="42" t="s">
        <v>1776</v>
      </c>
      <c r="F86" s="42" t="s">
        <v>4577</v>
      </c>
      <c r="G86" s="42" t="s">
        <v>4572</v>
      </c>
      <c r="H86" s="42" t="s">
        <v>4583</v>
      </c>
      <c r="I86" s="42" t="s">
        <v>4584</v>
      </c>
      <c r="J86" s="42" t="s">
        <v>4585</v>
      </c>
    </row>
    <row r="87" spans="1:21" x14ac:dyDescent="0.25">
      <c r="E87" s="48">
        <v>1E-4</v>
      </c>
      <c r="F87" s="34">
        <v>1</v>
      </c>
      <c r="G87" s="34">
        <v>1</v>
      </c>
      <c r="H87" s="34">
        <v>1</v>
      </c>
      <c r="I87" s="34">
        <v>1</v>
      </c>
      <c r="J87" s="34" t="s">
        <v>290</v>
      </c>
    </row>
    <row r="88" spans="1:21" x14ac:dyDescent="0.25">
      <c r="E88" s="48">
        <v>1</v>
      </c>
      <c r="F88" s="34">
        <v>0.63</v>
      </c>
      <c r="G88" s="34">
        <v>1</v>
      </c>
      <c r="H88" s="34">
        <v>0.99380078949742301</v>
      </c>
      <c r="I88" s="34">
        <v>0.12824773917762466</v>
      </c>
      <c r="J88" s="34">
        <v>1</v>
      </c>
    </row>
    <row r="89" spans="1:21" x14ac:dyDescent="0.25">
      <c r="E89" s="48">
        <v>2</v>
      </c>
      <c r="F89" s="34">
        <v>0.4</v>
      </c>
      <c r="G89" s="34">
        <v>0.5</v>
      </c>
      <c r="H89" s="34">
        <v>0.92126493473313809</v>
      </c>
      <c r="I89" s="34">
        <v>6.6323256784032725E-2</v>
      </c>
      <c r="J89" s="34">
        <f>I89/I$88</f>
        <v>0.51714952021239313</v>
      </c>
    </row>
    <row r="90" spans="1:21" x14ac:dyDescent="0.25">
      <c r="E90" s="48">
        <v>4</v>
      </c>
      <c r="F90" s="34">
        <v>0.16</v>
      </c>
      <c r="G90" s="34">
        <v>0.25</v>
      </c>
      <c r="H90" s="34">
        <v>0.71940230708920316</v>
      </c>
      <c r="I90" s="34">
        <v>3.37305017667342E-2</v>
      </c>
      <c r="J90" s="34">
        <f t="shared" ref="J90:J97" si="33">I90/I$88</f>
        <v>0.2630104981423263</v>
      </c>
    </row>
    <row r="91" spans="1:21" x14ac:dyDescent="0.25">
      <c r="E91" s="48">
        <v>6</v>
      </c>
      <c r="F91" s="34">
        <v>0.06</v>
      </c>
      <c r="G91" s="34">
        <v>0.17</v>
      </c>
      <c r="H91" s="34">
        <v>0.57139615384616305</v>
      </c>
      <c r="I91" s="34">
        <v>2.2615350781070021E-2</v>
      </c>
      <c r="J91" s="34">
        <f t="shared" si="33"/>
        <v>0.17634112637063712</v>
      </c>
    </row>
    <row r="92" spans="1:21" x14ac:dyDescent="0.25">
      <c r="E92" s="48">
        <v>8</v>
      </c>
      <c r="F92" s="34">
        <v>0.02</v>
      </c>
      <c r="G92" s="34">
        <v>0.13</v>
      </c>
      <c r="H92" s="34">
        <v>0.47028527214094107</v>
      </c>
      <c r="I92" s="34">
        <v>1.7009919565173948E-2</v>
      </c>
      <c r="J92" s="34">
        <f t="shared" si="33"/>
        <v>0.1326332898673169</v>
      </c>
    </row>
    <row r="93" spans="1:21" x14ac:dyDescent="0.25">
      <c r="E93" s="48">
        <v>10</v>
      </c>
      <c r="F93" s="34">
        <v>0.01</v>
      </c>
      <c r="G93" s="34">
        <v>0.1</v>
      </c>
      <c r="H93" s="34">
        <v>0.39850276073787116</v>
      </c>
      <c r="I93" s="34">
        <v>1.3631241622234169E-2</v>
      </c>
      <c r="J93" s="34">
        <f t="shared" si="33"/>
        <v>0.10628835806107065</v>
      </c>
    </row>
    <row r="94" spans="1:21" x14ac:dyDescent="0.25">
      <c r="E94" s="48">
        <v>12</v>
      </c>
      <c r="F94" s="34">
        <v>3.8999999999999998E-3</v>
      </c>
      <c r="G94" s="34">
        <v>0.08</v>
      </c>
      <c r="H94" s="34">
        <v>0.34532157042267164</v>
      </c>
      <c r="I94" s="34">
        <v>1.1372340454238516E-2</v>
      </c>
      <c r="J94" s="34">
        <f t="shared" si="33"/>
        <v>8.8674783096859805E-2</v>
      </c>
    </row>
    <row r="95" spans="1:21" x14ac:dyDescent="0.25">
      <c r="E95" s="48">
        <v>15</v>
      </c>
      <c r="F95" s="34">
        <v>1E-3</v>
      </c>
      <c r="G95" s="34">
        <v>7.0000000000000007E-2</v>
      </c>
      <c r="H95" s="34">
        <v>0.28743838179604009</v>
      </c>
      <c r="I95" s="34">
        <v>9.108266135285481E-3</v>
      </c>
      <c r="J95" s="34">
        <f t="shared" si="33"/>
        <v>7.1020870961868751E-2</v>
      </c>
    </row>
    <row r="96" spans="1:21" x14ac:dyDescent="0.25">
      <c r="E96" s="48">
        <v>20</v>
      </c>
      <c r="F96" s="34">
        <v>1E-4</v>
      </c>
      <c r="G96" s="34">
        <v>0.05</v>
      </c>
      <c r="H96" s="34">
        <v>0.22443746914763296</v>
      </c>
      <c r="I96" s="34">
        <v>6.8390068182471175E-3</v>
      </c>
      <c r="J96" s="34">
        <f t="shared" si="33"/>
        <v>5.3326529279202423E-2</v>
      </c>
    </row>
    <row r="97" spans="4:10" x14ac:dyDescent="0.25">
      <c r="E97" s="48">
        <v>50</v>
      </c>
      <c r="F97" s="34">
        <v>0</v>
      </c>
      <c r="G97" s="34">
        <v>0.02</v>
      </c>
      <c r="H97" s="34">
        <v>9.6669388306683701E-2</v>
      </c>
      <c r="I97" s="34">
        <v>2.7412359324094915E-3</v>
      </c>
      <c r="J97" s="34">
        <f t="shared" si="33"/>
        <v>2.1374536112584774E-2</v>
      </c>
    </row>
    <row r="98" spans="4:10" x14ac:dyDescent="0.25">
      <c r="D98" t="s">
        <v>4586</v>
      </c>
    </row>
    <row r="99" spans="4:10" ht="105" x14ac:dyDescent="0.25">
      <c r="E99" s="42" t="s">
        <v>1776</v>
      </c>
      <c r="F99" s="42" t="s">
        <v>4587</v>
      </c>
      <c r="G99" s="42" t="s">
        <v>4588</v>
      </c>
      <c r="H99" s="42" t="s">
        <v>4589</v>
      </c>
      <c r="I99" s="42" t="s">
        <v>4590</v>
      </c>
      <c r="J99" s="42"/>
    </row>
    <row r="100" spans="4:10" x14ac:dyDescent="0.25">
      <c r="E100" s="48">
        <v>1E-4</v>
      </c>
      <c r="F100" s="80">
        <f>1/F87</f>
        <v>1</v>
      </c>
      <c r="G100" s="31">
        <f t="shared" ref="G100:I100" si="34">1/G87</f>
        <v>1</v>
      </c>
      <c r="H100" s="80">
        <f t="shared" si="34"/>
        <v>1</v>
      </c>
      <c r="I100" s="80">
        <f t="shared" si="34"/>
        <v>1</v>
      </c>
      <c r="J100" s="80"/>
    </row>
    <row r="101" spans="4:10" x14ac:dyDescent="0.25">
      <c r="E101" s="48">
        <v>1</v>
      </c>
      <c r="F101" s="80">
        <f t="shared" ref="F101:I101" si="35">1/F88</f>
        <v>1.5873015873015872</v>
      </c>
      <c r="G101" s="31">
        <f t="shared" si="35"/>
        <v>1</v>
      </c>
      <c r="H101" s="80">
        <f t="shared" si="35"/>
        <v>1.0062378804364926</v>
      </c>
      <c r="I101" s="80">
        <f t="shared" si="35"/>
        <v>7.7974084097887131</v>
      </c>
      <c r="J101" s="80"/>
    </row>
    <row r="102" spans="4:10" x14ac:dyDescent="0.25">
      <c r="E102" s="48">
        <v>2</v>
      </c>
      <c r="F102" s="80">
        <f t="shared" ref="F102:I102" si="36">1/F89</f>
        <v>2.5</v>
      </c>
      <c r="G102" s="31">
        <f t="shared" si="36"/>
        <v>2</v>
      </c>
      <c r="H102" s="80">
        <f t="shared" si="36"/>
        <v>1.0854640856266489</v>
      </c>
      <c r="I102" s="80">
        <f t="shared" si="36"/>
        <v>15.077667299365029</v>
      </c>
      <c r="J102" s="80"/>
    </row>
    <row r="103" spans="4:10" x14ac:dyDescent="0.25">
      <c r="E103" s="48">
        <v>4</v>
      </c>
      <c r="F103" s="80">
        <f t="shared" ref="F103:I103" si="37">1/F90</f>
        <v>6.25</v>
      </c>
      <c r="G103" s="31">
        <f t="shared" si="37"/>
        <v>4</v>
      </c>
      <c r="H103" s="80">
        <f t="shared" si="37"/>
        <v>1.390042803791014</v>
      </c>
      <c r="I103" s="80">
        <f t="shared" si="37"/>
        <v>29.646757315250586</v>
      </c>
      <c r="J103" s="80"/>
    </row>
    <row r="104" spans="4:10" x14ac:dyDescent="0.25">
      <c r="E104" s="48">
        <v>6</v>
      </c>
      <c r="F104" s="80">
        <f t="shared" ref="F104:I104" si="38">1/F91</f>
        <v>16.666666666666668</v>
      </c>
      <c r="G104" s="31">
        <f t="shared" si="38"/>
        <v>5.8823529411764701</v>
      </c>
      <c r="H104" s="80">
        <f t="shared" si="38"/>
        <v>1.7500992844786105</v>
      </c>
      <c r="I104" s="80">
        <f t="shared" si="38"/>
        <v>44.217753227911068</v>
      </c>
      <c r="J104" s="80"/>
    </row>
    <row r="105" spans="4:10" x14ac:dyDescent="0.25">
      <c r="E105" s="48">
        <v>8</v>
      </c>
      <c r="F105" s="80">
        <f t="shared" ref="F105:I105" si="39">1/F92</f>
        <v>50</v>
      </c>
      <c r="G105" s="31">
        <f t="shared" si="39"/>
        <v>7.6923076923076916</v>
      </c>
      <c r="H105" s="80">
        <f t="shared" si="39"/>
        <v>2.1263689493136142</v>
      </c>
      <c r="I105" s="80">
        <f t="shared" si="39"/>
        <v>58.789225673200519</v>
      </c>
      <c r="J105" s="80"/>
    </row>
    <row r="106" spans="4:10" x14ac:dyDescent="0.25">
      <c r="E106" s="48">
        <v>10</v>
      </c>
      <c r="F106" s="80">
        <f t="shared" ref="F106:I106" si="40">1/F93</f>
        <v>100</v>
      </c>
      <c r="G106" s="31">
        <f t="shared" si="40"/>
        <v>10</v>
      </c>
      <c r="H106" s="80">
        <f t="shared" si="40"/>
        <v>2.5093929039497525</v>
      </c>
      <c r="I106" s="80">
        <f t="shared" si="40"/>
        <v>73.360888737301934</v>
      </c>
      <c r="J106" s="80"/>
    </row>
    <row r="107" spans="4:10" x14ac:dyDescent="0.25">
      <c r="E107" s="48">
        <v>12</v>
      </c>
      <c r="F107" s="80">
        <f t="shared" ref="F107:I107" si="41">1/F94</f>
        <v>256.41025641025641</v>
      </c>
      <c r="G107" s="31">
        <f t="shared" si="41"/>
        <v>12.5</v>
      </c>
      <c r="H107" s="80">
        <f t="shared" si="41"/>
        <v>2.8958515356454728</v>
      </c>
      <c r="I107" s="80">
        <f t="shared" si="41"/>
        <v>87.932647111993205</v>
      </c>
      <c r="J107" s="80"/>
    </row>
    <row r="108" spans="4:10" x14ac:dyDescent="0.25">
      <c r="E108" s="48">
        <v>15</v>
      </c>
      <c r="F108" s="80">
        <f t="shared" ref="F108:I108" si="42">1/F95</f>
        <v>1000</v>
      </c>
      <c r="G108" s="31">
        <f t="shared" si="42"/>
        <v>14.285714285714285</v>
      </c>
      <c r="H108" s="80">
        <f t="shared" si="42"/>
        <v>3.479006504808317</v>
      </c>
      <c r="I108" s="80">
        <f t="shared" si="42"/>
        <v>109.79037998527444</v>
      </c>
      <c r="J108" s="80"/>
    </row>
    <row r="109" spans="4:10" x14ac:dyDescent="0.25">
      <c r="E109" s="48">
        <v>20</v>
      </c>
      <c r="F109" s="80">
        <f t="shared" ref="F109:I109" si="43">1/F96</f>
        <v>10000</v>
      </c>
      <c r="G109" s="31">
        <f t="shared" si="43"/>
        <v>20</v>
      </c>
      <c r="H109" s="80">
        <f t="shared" si="43"/>
        <v>4.4555840154399933</v>
      </c>
      <c r="I109" s="80">
        <f t="shared" si="43"/>
        <v>146.2200618563364</v>
      </c>
      <c r="J109" s="80"/>
    </row>
    <row r="110" spans="4:10" x14ac:dyDescent="0.25">
      <c r="E110" s="48">
        <v>50</v>
      </c>
      <c r="F110" s="80" t="s">
        <v>290</v>
      </c>
      <c r="G110" s="31">
        <f t="shared" ref="G110" si="44">1/G97</f>
        <v>50</v>
      </c>
      <c r="H110" s="80">
        <f t="shared" ref="H110:I110" si="45">1/H97</f>
        <v>10.344536336854635</v>
      </c>
      <c r="I110" s="80">
        <f t="shared" si="45"/>
        <v>364.79895370444092</v>
      </c>
      <c r="J110" s="80"/>
    </row>
  </sheetData>
  <pageMargins left="0.7" right="0.7" top="0.75" bottom="0.75" header="0.3" footer="0.3"/>
  <pageSetup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BDFDC-A3B4-44EB-957A-3BFA4B5C5AC1}">
  <dimension ref="A1:C732"/>
  <sheetViews>
    <sheetView topLeftCell="A111" workbookViewId="0">
      <selection activeCell="C120" sqref="C120"/>
    </sheetView>
  </sheetViews>
  <sheetFormatPr defaultRowHeight="15" x14ac:dyDescent="0.25"/>
  <cols>
    <col min="1" max="1" width="65.85546875" bestFit="1" customWidth="1"/>
    <col min="2" max="2" width="5.5703125" bestFit="1" customWidth="1"/>
    <col min="3" max="3" width="11.28515625" style="34" bestFit="1" customWidth="1"/>
  </cols>
  <sheetData>
    <row r="1" spans="1:3" x14ac:dyDescent="0.25">
      <c r="A1" t="s">
        <v>3265</v>
      </c>
      <c r="B1" t="s">
        <v>3266</v>
      </c>
      <c r="C1" s="34" t="s">
        <v>3267</v>
      </c>
    </row>
    <row r="2" spans="1:3" x14ac:dyDescent="0.25">
      <c r="A2" t="s">
        <v>2535</v>
      </c>
      <c r="B2">
        <v>6</v>
      </c>
      <c r="C2" s="34">
        <v>0.01</v>
      </c>
    </row>
    <row r="3" spans="1:3" x14ac:dyDescent="0.25">
      <c r="A3" t="s">
        <v>2536</v>
      </c>
      <c r="B3">
        <v>7</v>
      </c>
      <c r="C3" s="34">
        <v>0.01</v>
      </c>
    </row>
    <row r="4" spans="1:3" x14ac:dyDescent="0.25">
      <c r="A4" t="s">
        <v>2537</v>
      </c>
      <c r="B4">
        <v>11</v>
      </c>
      <c r="C4" s="34">
        <v>0.01</v>
      </c>
    </row>
    <row r="5" spans="1:3" x14ac:dyDescent="0.25">
      <c r="A5" t="s">
        <v>2538</v>
      </c>
      <c r="B5">
        <v>17</v>
      </c>
      <c r="C5" s="34">
        <v>0.01</v>
      </c>
    </row>
    <row r="6" spans="1:3" x14ac:dyDescent="0.25">
      <c r="A6" t="s">
        <v>2539</v>
      </c>
      <c r="B6">
        <v>18</v>
      </c>
      <c r="C6" s="34">
        <v>0.01</v>
      </c>
    </row>
    <row r="7" spans="1:3" x14ac:dyDescent="0.25">
      <c r="A7" t="s">
        <v>2540</v>
      </c>
      <c r="B7">
        <v>19</v>
      </c>
      <c r="C7" s="34">
        <v>0.01</v>
      </c>
    </row>
    <row r="8" spans="1:3" x14ac:dyDescent="0.25">
      <c r="A8" t="s">
        <v>2541</v>
      </c>
      <c r="B8">
        <v>20</v>
      </c>
      <c r="C8" s="34">
        <v>0.9</v>
      </c>
    </row>
    <row r="9" spans="1:3" x14ac:dyDescent="0.25">
      <c r="A9" t="s">
        <v>2542</v>
      </c>
      <c r="B9">
        <v>21</v>
      </c>
      <c r="C9" s="34">
        <v>0.9</v>
      </c>
    </row>
    <row r="10" spans="1:3" x14ac:dyDescent="0.25">
      <c r="A10" t="s">
        <v>2543</v>
      </c>
      <c r="B10">
        <v>23</v>
      </c>
      <c r="C10" s="34">
        <v>0.9</v>
      </c>
    </row>
    <row r="11" spans="1:3" x14ac:dyDescent="0.25">
      <c r="A11" t="s">
        <v>2544</v>
      </c>
      <c r="B11">
        <v>25</v>
      </c>
      <c r="C11" s="34">
        <v>0.1</v>
      </c>
    </row>
    <row r="12" spans="1:3" x14ac:dyDescent="0.25">
      <c r="A12" t="s">
        <v>2545</v>
      </c>
      <c r="B12">
        <v>28</v>
      </c>
      <c r="C12" s="34">
        <v>0.7</v>
      </c>
    </row>
    <row r="13" spans="1:3" x14ac:dyDescent="0.25">
      <c r="A13" t="s">
        <v>2546</v>
      </c>
      <c r="B13">
        <v>29</v>
      </c>
      <c r="C13" s="34">
        <v>0.7</v>
      </c>
    </row>
    <row r="14" spans="1:3" x14ac:dyDescent="0.25">
      <c r="A14" t="s">
        <v>2547</v>
      </c>
      <c r="B14">
        <v>30</v>
      </c>
      <c r="C14" s="34">
        <v>0.1</v>
      </c>
    </row>
    <row r="15" spans="1:3" x14ac:dyDescent="0.25">
      <c r="A15" t="s">
        <v>2548</v>
      </c>
      <c r="B15">
        <v>50</v>
      </c>
      <c r="C15" s="34">
        <v>0.1</v>
      </c>
    </row>
    <row r="16" spans="1:3" x14ac:dyDescent="0.25">
      <c r="A16" t="s">
        <v>2549</v>
      </c>
      <c r="B16">
        <v>60</v>
      </c>
      <c r="C16" s="34">
        <v>0.1</v>
      </c>
    </row>
    <row r="17" spans="1:3" x14ac:dyDescent="0.25">
      <c r="A17" t="s">
        <v>2550</v>
      </c>
      <c r="B17">
        <v>62</v>
      </c>
      <c r="C17" s="34">
        <v>0.9</v>
      </c>
    </row>
    <row r="18" spans="1:3" x14ac:dyDescent="0.25">
      <c r="A18" t="s">
        <v>2551</v>
      </c>
      <c r="B18">
        <v>72</v>
      </c>
      <c r="C18" s="34">
        <v>0.9</v>
      </c>
    </row>
    <row r="19" spans="1:3" x14ac:dyDescent="0.25">
      <c r="A19" t="s">
        <v>2552</v>
      </c>
      <c r="B19">
        <v>80</v>
      </c>
      <c r="C19" s="34">
        <v>0.01</v>
      </c>
    </row>
    <row r="20" spans="1:3" x14ac:dyDescent="0.25">
      <c r="A20" t="s">
        <v>2553</v>
      </c>
      <c r="B20">
        <v>81</v>
      </c>
      <c r="C20" s="34">
        <v>0.01</v>
      </c>
    </row>
    <row r="21" spans="1:3" x14ac:dyDescent="0.25">
      <c r="A21" t="s">
        <v>2554</v>
      </c>
      <c r="B21">
        <v>82</v>
      </c>
      <c r="C21" s="34">
        <v>0.01</v>
      </c>
    </row>
    <row r="22" spans="1:3" x14ac:dyDescent="0.25">
      <c r="A22" t="s">
        <v>2555</v>
      </c>
      <c r="B22">
        <v>83</v>
      </c>
      <c r="C22" s="34">
        <v>0.01</v>
      </c>
    </row>
    <row r="23" spans="1:3" x14ac:dyDescent="0.25">
      <c r="A23" t="s">
        <v>2556</v>
      </c>
      <c r="B23">
        <v>84</v>
      </c>
      <c r="C23" s="34">
        <v>0.01</v>
      </c>
    </row>
    <row r="24" spans="1:3" x14ac:dyDescent="0.25">
      <c r="A24" t="s">
        <v>2557</v>
      </c>
      <c r="B24">
        <v>85</v>
      </c>
      <c r="C24" s="34">
        <v>0</v>
      </c>
    </row>
    <row r="25" spans="1:3" x14ac:dyDescent="0.25">
      <c r="A25" t="s">
        <v>2558</v>
      </c>
      <c r="B25">
        <v>86</v>
      </c>
      <c r="C25" s="34">
        <v>0.1</v>
      </c>
    </row>
    <row r="26" spans="1:3" x14ac:dyDescent="0.25">
      <c r="A26" t="s">
        <v>2559</v>
      </c>
      <c r="B26">
        <v>90</v>
      </c>
      <c r="C26" s="34">
        <v>0.01</v>
      </c>
    </row>
    <row r="27" spans="1:3" x14ac:dyDescent="0.25">
      <c r="A27" t="s">
        <v>2560</v>
      </c>
      <c r="B27">
        <v>95</v>
      </c>
      <c r="C27" s="34">
        <v>0.9</v>
      </c>
    </row>
    <row r="28" spans="1:3" x14ac:dyDescent="0.25">
      <c r="A28" t="s">
        <v>2561</v>
      </c>
      <c r="B28">
        <v>99</v>
      </c>
      <c r="C28" s="34">
        <v>0.1</v>
      </c>
    </row>
    <row r="29" spans="1:3" x14ac:dyDescent="0.25">
      <c r="A29" t="s">
        <v>2562</v>
      </c>
      <c r="B29">
        <v>101</v>
      </c>
      <c r="C29" s="34">
        <v>0.9</v>
      </c>
    </row>
    <row r="30" spans="1:3" x14ac:dyDescent="0.25">
      <c r="A30" t="s">
        <v>2563</v>
      </c>
      <c r="B30">
        <v>102</v>
      </c>
      <c r="C30" s="34">
        <v>0.9</v>
      </c>
    </row>
    <row r="31" spans="1:3" x14ac:dyDescent="0.25">
      <c r="A31" t="s">
        <v>2564</v>
      </c>
      <c r="B31">
        <v>105</v>
      </c>
      <c r="C31" s="34">
        <v>0.9</v>
      </c>
    </row>
    <row r="32" spans="1:3" x14ac:dyDescent="0.25">
      <c r="A32" t="s">
        <v>2565</v>
      </c>
      <c r="B32">
        <v>106</v>
      </c>
      <c r="C32" s="34">
        <v>0.9</v>
      </c>
    </row>
    <row r="33" spans="1:3" x14ac:dyDescent="0.25">
      <c r="A33" t="s">
        <v>2566</v>
      </c>
      <c r="B33">
        <v>107</v>
      </c>
      <c r="C33" s="34">
        <v>0.9</v>
      </c>
    </row>
    <row r="34" spans="1:3" x14ac:dyDescent="0.25">
      <c r="A34" t="s">
        <v>2567</v>
      </c>
      <c r="B34">
        <v>110</v>
      </c>
      <c r="C34" s="34">
        <v>0.9</v>
      </c>
    </row>
    <row r="35" spans="1:3" x14ac:dyDescent="0.25">
      <c r="A35" t="s">
        <v>2568</v>
      </c>
      <c r="B35">
        <v>119</v>
      </c>
      <c r="C35" s="34">
        <v>0.9</v>
      </c>
    </row>
    <row r="36" spans="1:3" x14ac:dyDescent="0.25">
      <c r="A36" t="s">
        <v>2569</v>
      </c>
      <c r="B36">
        <v>130</v>
      </c>
      <c r="C36" s="34">
        <v>0.5</v>
      </c>
    </row>
    <row r="37" spans="1:3" x14ac:dyDescent="0.25">
      <c r="A37" t="s">
        <v>2570</v>
      </c>
      <c r="B37">
        <v>131</v>
      </c>
      <c r="C37" s="34">
        <v>0.5</v>
      </c>
    </row>
    <row r="38" spans="1:3" x14ac:dyDescent="0.25">
      <c r="A38" t="s">
        <v>2571</v>
      </c>
      <c r="B38">
        <v>132</v>
      </c>
      <c r="C38" s="34">
        <v>0.5</v>
      </c>
    </row>
    <row r="39" spans="1:3" x14ac:dyDescent="0.25">
      <c r="A39" t="s">
        <v>2572</v>
      </c>
      <c r="B39">
        <v>134</v>
      </c>
      <c r="C39" s="34">
        <v>0.5</v>
      </c>
    </row>
    <row r="40" spans="1:3" x14ac:dyDescent="0.25">
      <c r="A40" t="s">
        <v>2573</v>
      </c>
      <c r="B40">
        <v>135</v>
      </c>
      <c r="C40" s="34">
        <v>0.5</v>
      </c>
    </row>
    <row r="41" spans="1:3" x14ac:dyDescent="0.25">
      <c r="A41" t="s">
        <v>2574</v>
      </c>
      <c r="B41">
        <v>136</v>
      </c>
      <c r="C41" s="34">
        <v>0.5</v>
      </c>
    </row>
    <row r="42" spans="1:3" x14ac:dyDescent="0.25">
      <c r="A42" t="s">
        <v>2575</v>
      </c>
      <c r="B42">
        <v>140</v>
      </c>
      <c r="C42" s="34">
        <v>0.9</v>
      </c>
    </row>
    <row r="43" spans="1:3" x14ac:dyDescent="0.25">
      <c r="A43" t="s">
        <v>2576</v>
      </c>
      <c r="B43">
        <v>142</v>
      </c>
      <c r="C43" s="34">
        <v>0.9</v>
      </c>
    </row>
    <row r="44" spans="1:3" x14ac:dyDescent="0.25">
      <c r="A44" t="s">
        <v>2577</v>
      </c>
      <c r="B44">
        <v>150</v>
      </c>
      <c r="C44" s="34">
        <v>0.9</v>
      </c>
    </row>
    <row r="45" spans="1:3" x14ac:dyDescent="0.25">
      <c r="A45" t="s">
        <v>2578</v>
      </c>
      <c r="B45">
        <v>160</v>
      </c>
      <c r="C45" s="34">
        <v>0.9</v>
      </c>
    </row>
    <row r="46" spans="1:3" x14ac:dyDescent="0.25">
      <c r="A46" t="s">
        <v>2579</v>
      </c>
      <c r="B46">
        <v>170</v>
      </c>
      <c r="C46" s="34">
        <v>0.9</v>
      </c>
    </row>
    <row r="47" spans="1:3" x14ac:dyDescent="0.25">
      <c r="A47" t="s">
        <v>2580</v>
      </c>
      <c r="B47">
        <v>180</v>
      </c>
      <c r="C47" s="34">
        <v>0.1</v>
      </c>
    </row>
    <row r="48" spans="1:3" x14ac:dyDescent="0.25">
      <c r="A48" t="s">
        <v>2581</v>
      </c>
      <c r="B48">
        <v>181</v>
      </c>
      <c r="C48" s="34">
        <v>0.1</v>
      </c>
    </row>
    <row r="49" spans="1:3" x14ac:dyDescent="0.25">
      <c r="A49" t="s">
        <v>2582</v>
      </c>
      <c r="B49">
        <v>184</v>
      </c>
      <c r="C49" s="34">
        <v>0.1</v>
      </c>
    </row>
    <row r="50" spans="1:3" x14ac:dyDescent="0.25">
      <c r="A50" t="s">
        <v>2583</v>
      </c>
      <c r="B50">
        <v>185</v>
      </c>
      <c r="C50" s="34">
        <v>0.1</v>
      </c>
    </row>
    <row r="51" spans="1:3" x14ac:dyDescent="0.25">
      <c r="A51" t="s">
        <v>2584</v>
      </c>
      <c r="B51">
        <v>186</v>
      </c>
      <c r="C51" s="34">
        <v>0.1</v>
      </c>
    </row>
    <row r="52" spans="1:3" x14ac:dyDescent="0.25">
      <c r="A52" t="s">
        <v>2585</v>
      </c>
      <c r="B52">
        <v>187</v>
      </c>
      <c r="C52" s="34">
        <v>0.1</v>
      </c>
    </row>
    <row r="53" spans="1:3" x14ac:dyDescent="0.25">
      <c r="A53" t="s">
        <v>2586</v>
      </c>
      <c r="B53">
        <v>188</v>
      </c>
      <c r="C53" s="34">
        <v>0.1</v>
      </c>
    </row>
    <row r="54" spans="1:3" x14ac:dyDescent="0.25">
      <c r="A54" t="s">
        <v>2587</v>
      </c>
      <c r="B54">
        <v>189</v>
      </c>
      <c r="C54" s="34">
        <v>0.1</v>
      </c>
    </row>
    <row r="55" spans="1:3" x14ac:dyDescent="0.25">
      <c r="A55" t="s">
        <v>2588</v>
      </c>
      <c r="B55">
        <v>190</v>
      </c>
      <c r="C55" s="34">
        <v>0.9</v>
      </c>
    </row>
    <row r="56" spans="1:3" x14ac:dyDescent="0.25">
      <c r="A56" t="s">
        <v>2589</v>
      </c>
      <c r="B56">
        <v>193</v>
      </c>
      <c r="C56" s="34">
        <v>0.9</v>
      </c>
    </row>
    <row r="57" spans="1:3" x14ac:dyDescent="0.25">
      <c r="A57" t="s">
        <v>2590</v>
      </c>
      <c r="B57">
        <v>199</v>
      </c>
      <c r="C57" s="34">
        <v>0.1</v>
      </c>
    </row>
    <row r="58" spans="1:3" x14ac:dyDescent="0.25">
      <c r="A58" t="s">
        <v>2591</v>
      </c>
      <c r="B58">
        <v>201</v>
      </c>
      <c r="C58" s="34">
        <v>0.5</v>
      </c>
    </row>
    <row r="59" spans="1:3" x14ac:dyDescent="0.25">
      <c r="A59" t="s">
        <v>2592</v>
      </c>
      <c r="B59">
        <v>203</v>
      </c>
      <c r="C59" s="34">
        <v>0.5</v>
      </c>
    </row>
    <row r="60" spans="1:3" x14ac:dyDescent="0.25">
      <c r="A60" t="s">
        <v>2593</v>
      </c>
      <c r="B60">
        <v>241</v>
      </c>
      <c r="C60" s="34">
        <v>0.1</v>
      </c>
    </row>
    <row r="61" spans="1:3" x14ac:dyDescent="0.25">
      <c r="A61" t="s">
        <v>2594</v>
      </c>
      <c r="B61">
        <v>243</v>
      </c>
      <c r="C61" s="34">
        <v>0.1</v>
      </c>
    </row>
    <row r="62" spans="1:3" x14ac:dyDescent="0.25">
      <c r="A62" t="s">
        <v>2595</v>
      </c>
      <c r="B62">
        <v>244</v>
      </c>
      <c r="C62" s="34">
        <v>0.5</v>
      </c>
    </row>
    <row r="63" spans="1:3" x14ac:dyDescent="0.25">
      <c r="A63" t="s">
        <v>2596</v>
      </c>
      <c r="B63">
        <v>260</v>
      </c>
      <c r="C63" s="34">
        <v>0.9</v>
      </c>
    </row>
    <row r="64" spans="1:3" x14ac:dyDescent="0.25">
      <c r="A64" t="s">
        <v>2597</v>
      </c>
      <c r="B64">
        <v>299</v>
      </c>
      <c r="C64" s="34">
        <v>0.1</v>
      </c>
    </row>
    <row r="65" spans="1:3" x14ac:dyDescent="0.25">
      <c r="A65" t="s">
        <v>2598</v>
      </c>
      <c r="B65">
        <v>301</v>
      </c>
      <c r="C65" s="34">
        <v>0.9</v>
      </c>
    </row>
    <row r="66" spans="1:3" x14ac:dyDescent="0.25">
      <c r="A66" t="s">
        <v>2599</v>
      </c>
      <c r="B66">
        <v>302</v>
      </c>
      <c r="C66" s="34">
        <v>0.1</v>
      </c>
    </row>
    <row r="67" spans="1:3" x14ac:dyDescent="0.25">
      <c r="A67" t="s">
        <v>2600</v>
      </c>
      <c r="B67">
        <v>303</v>
      </c>
      <c r="C67" s="34">
        <v>0.9</v>
      </c>
    </row>
    <row r="68" spans="1:3" x14ac:dyDescent="0.25">
      <c r="A68" t="s">
        <v>2601</v>
      </c>
      <c r="B68">
        <v>304</v>
      </c>
      <c r="C68" s="34">
        <v>0.1</v>
      </c>
    </row>
    <row r="69" spans="1:3" x14ac:dyDescent="0.25">
      <c r="A69" t="s">
        <v>2602</v>
      </c>
      <c r="B69">
        <v>305</v>
      </c>
      <c r="C69" s="34">
        <v>0.01</v>
      </c>
    </row>
    <row r="70" spans="1:3" x14ac:dyDescent="0.25">
      <c r="A70" t="s">
        <v>2603</v>
      </c>
      <c r="B70">
        <v>309</v>
      </c>
      <c r="C70" s="34">
        <v>0.9</v>
      </c>
    </row>
    <row r="71" spans="1:3" x14ac:dyDescent="0.25">
      <c r="A71" t="s">
        <v>2604</v>
      </c>
      <c r="B71">
        <v>313</v>
      </c>
      <c r="C71" s="34">
        <v>0.1</v>
      </c>
    </row>
    <row r="72" spans="1:3" x14ac:dyDescent="0.25">
      <c r="A72" t="s">
        <v>2605</v>
      </c>
      <c r="B72">
        <v>318</v>
      </c>
      <c r="C72" s="34">
        <v>0.9</v>
      </c>
    </row>
    <row r="73" spans="1:3" x14ac:dyDescent="0.25">
      <c r="A73" t="s">
        <v>2606</v>
      </c>
      <c r="B73">
        <v>319</v>
      </c>
      <c r="C73" s="34">
        <v>0.9</v>
      </c>
    </row>
    <row r="74" spans="1:3" x14ac:dyDescent="0.25">
      <c r="A74" t="s">
        <v>2607</v>
      </c>
      <c r="B74">
        <v>322</v>
      </c>
      <c r="C74" s="34">
        <v>0.9</v>
      </c>
    </row>
    <row r="75" spans="1:3" x14ac:dyDescent="0.25">
      <c r="A75" t="s">
        <v>2608</v>
      </c>
      <c r="B75">
        <v>326</v>
      </c>
      <c r="C75" s="34">
        <v>0.9</v>
      </c>
    </row>
    <row r="76" spans="1:3" x14ac:dyDescent="0.25">
      <c r="A76" t="s">
        <v>2609</v>
      </c>
      <c r="B76">
        <v>332</v>
      </c>
      <c r="C76" s="34">
        <v>0.1</v>
      </c>
    </row>
    <row r="77" spans="1:3" x14ac:dyDescent="0.25">
      <c r="A77" t="s">
        <v>2610</v>
      </c>
      <c r="B77">
        <v>334</v>
      </c>
      <c r="C77" s="34">
        <v>0.1</v>
      </c>
    </row>
    <row r="78" spans="1:3" x14ac:dyDescent="0.25">
      <c r="A78" t="s">
        <v>2611</v>
      </c>
      <c r="B78">
        <v>335</v>
      </c>
      <c r="C78" s="34">
        <v>0.1</v>
      </c>
    </row>
    <row r="79" spans="1:3" x14ac:dyDescent="0.25">
      <c r="A79" t="s">
        <v>2612</v>
      </c>
      <c r="B79">
        <v>340</v>
      </c>
      <c r="C79" s="34">
        <v>0.1</v>
      </c>
    </row>
    <row r="80" spans="1:3" x14ac:dyDescent="0.25">
      <c r="A80" t="s">
        <v>2613</v>
      </c>
      <c r="B80">
        <v>341</v>
      </c>
      <c r="C80" s="34">
        <v>0.1</v>
      </c>
    </row>
    <row r="81" spans="1:3" x14ac:dyDescent="0.25">
      <c r="A81" t="s">
        <v>2614</v>
      </c>
      <c r="B81">
        <v>342</v>
      </c>
      <c r="C81" s="34">
        <v>0.9</v>
      </c>
    </row>
    <row r="82" spans="1:3" x14ac:dyDescent="0.25">
      <c r="A82" t="s">
        <v>2615</v>
      </c>
      <c r="B82">
        <v>343</v>
      </c>
      <c r="C82" s="34">
        <v>0.1</v>
      </c>
    </row>
    <row r="83" spans="1:3" x14ac:dyDescent="0.25">
      <c r="A83" t="s">
        <v>2616</v>
      </c>
      <c r="B83">
        <v>344</v>
      </c>
      <c r="C83" s="34">
        <v>0.1</v>
      </c>
    </row>
    <row r="84" spans="1:3" x14ac:dyDescent="0.25">
      <c r="A84" t="s">
        <v>2617</v>
      </c>
      <c r="B84">
        <v>346</v>
      </c>
      <c r="C84" s="34">
        <v>0.9</v>
      </c>
    </row>
    <row r="85" spans="1:3" x14ac:dyDescent="0.25">
      <c r="A85" t="s">
        <v>2618</v>
      </c>
      <c r="B85">
        <v>347</v>
      </c>
      <c r="C85" s="34">
        <v>0.9</v>
      </c>
    </row>
    <row r="86" spans="1:3" x14ac:dyDescent="0.25">
      <c r="A86" t="s">
        <v>2619</v>
      </c>
      <c r="B86">
        <v>350</v>
      </c>
      <c r="C86" s="34">
        <v>0.1</v>
      </c>
    </row>
    <row r="87" spans="1:3" x14ac:dyDescent="0.25">
      <c r="A87" t="s">
        <v>2620</v>
      </c>
      <c r="B87">
        <v>356</v>
      </c>
      <c r="C87" s="34">
        <v>0.1</v>
      </c>
    </row>
    <row r="88" spans="1:3" x14ac:dyDescent="0.25">
      <c r="A88" t="s">
        <v>2621</v>
      </c>
      <c r="B88">
        <v>357</v>
      </c>
      <c r="C88" s="34">
        <v>0.9</v>
      </c>
    </row>
    <row r="89" spans="1:3" x14ac:dyDescent="0.25">
      <c r="A89" t="s">
        <v>2622</v>
      </c>
      <c r="B89">
        <v>360</v>
      </c>
      <c r="C89" s="34">
        <v>0.9</v>
      </c>
    </row>
    <row r="90" spans="1:3" x14ac:dyDescent="0.25">
      <c r="A90" t="s">
        <v>2623</v>
      </c>
      <c r="B90">
        <v>361</v>
      </c>
      <c r="C90" s="34">
        <v>0.9</v>
      </c>
    </row>
    <row r="91" spans="1:3" x14ac:dyDescent="0.25">
      <c r="A91" t="s">
        <v>2624</v>
      </c>
      <c r="B91">
        <v>382</v>
      </c>
      <c r="C91" s="34">
        <v>0.9</v>
      </c>
    </row>
    <row r="92" spans="1:3" x14ac:dyDescent="0.25">
      <c r="A92" t="s">
        <v>2625</v>
      </c>
      <c r="B92">
        <v>390</v>
      </c>
      <c r="C92" s="34">
        <v>0.9</v>
      </c>
    </row>
    <row r="93" spans="1:3" x14ac:dyDescent="0.25">
      <c r="A93" t="s">
        <v>2626</v>
      </c>
      <c r="B93">
        <v>391</v>
      </c>
      <c r="C93" s="34">
        <v>0.9</v>
      </c>
    </row>
    <row r="94" spans="1:3" x14ac:dyDescent="0.25">
      <c r="A94" t="s">
        <v>2627</v>
      </c>
      <c r="B94">
        <v>392</v>
      </c>
      <c r="C94" s="34">
        <v>0.9</v>
      </c>
    </row>
    <row r="95" spans="1:3" x14ac:dyDescent="0.25">
      <c r="A95" t="s">
        <v>2628</v>
      </c>
      <c r="B95">
        <v>394</v>
      </c>
      <c r="C95" s="34">
        <v>0.9</v>
      </c>
    </row>
    <row r="96" spans="1:3" x14ac:dyDescent="0.25">
      <c r="A96" t="s">
        <v>2629</v>
      </c>
      <c r="B96">
        <v>399</v>
      </c>
      <c r="C96" s="34">
        <v>0.1</v>
      </c>
    </row>
    <row r="97" spans="1:3" x14ac:dyDescent="0.25">
      <c r="A97" t="s">
        <v>2630</v>
      </c>
      <c r="B97">
        <v>401</v>
      </c>
      <c r="C97" s="34">
        <v>0.9</v>
      </c>
    </row>
    <row r="98" spans="1:3" x14ac:dyDescent="0.25">
      <c r="A98" t="s">
        <v>2631</v>
      </c>
      <c r="B98">
        <v>403</v>
      </c>
      <c r="C98" s="34">
        <v>0.9</v>
      </c>
    </row>
    <row r="99" spans="1:3" x14ac:dyDescent="0.25">
      <c r="A99" t="s">
        <v>2632</v>
      </c>
      <c r="B99">
        <v>404</v>
      </c>
      <c r="C99" s="34">
        <v>0.1</v>
      </c>
    </row>
    <row r="100" spans="1:3" x14ac:dyDescent="0.25">
      <c r="A100" t="s">
        <v>2633</v>
      </c>
      <c r="B100">
        <v>405</v>
      </c>
      <c r="C100" s="34">
        <v>0.1</v>
      </c>
    </row>
    <row r="101" spans="1:3" x14ac:dyDescent="0.25">
      <c r="A101" t="s">
        <v>2634</v>
      </c>
      <c r="B101">
        <v>408</v>
      </c>
      <c r="C101" s="34">
        <v>0.1</v>
      </c>
    </row>
    <row r="102" spans="1:3" x14ac:dyDescent="0.25">
      <c r="A102" t="s">
        <v>2635</v>
      </c>
      <c r="B102">
        <v>410</v>
      </c>
      <c r="C102" s="34">
        <v>0.1</v>
      </c>
    </row>
    <row r="103" spans="1:3" x14ac:dyDescent="0.25">
      <c r="A103" t="s">
        <v>2636</v>
      </c>
      <c r="B103">
        <v>413</v>
      </c>
      <c r="C103" s="34">
        <v>0.1</v>
      </c>
    </row>
    <row r="104" spans="1:3" x14ac:dyDescent="0.25">
      <c r="A104" t="s">
        <v>2637</v>
      </c>
      <c r="B104">
        <v>414</v>
      </c>
      <c r="C104" s="34">
        <v>0.1</v>
      </c>
    </row>
    <row r="105" spans="1:3" x14ac:dyDescent="0.25">
      <c r="A105" t="s">
        <v>2638</v>
      </c>
      <c r="B105">
        <v>415</v>
      </c>
      <c r="C105" s="34">
        <v>0.1</v>
      </c>
    </row>
    <row r="106" spans="1:3" x14ac:dyDescent="0.25">
      <c r="A106" t="s">
        <v>2639</v>
      </c>
      <c r="B106">
        <v>421</v>
      </c>
      <c r="C106" s="34">
        <v>0.1</v>
      </c>
    </row>
    <row r="107" spans="1:3" x14ac:dyDescent="0.25">
      <c r="A107" t="s">
        <v>2640</v>
      </c>
      <c r="B107">
        <v>430</v>
      </c>
      <c r="C107" s="34">
        <v>0.1</v>
      </c>
    </row>
    <row r="108" spans="1:3" x14ac:dyDescent="0.25">
      <c r="A108" t="s">
        <v>2641</v>
      </c>
      <c r="B108">
        <v>434</v>
      </c>
      <c r="C108" s="34">
        <v>0.1</v>
      </c>
    </row>
    <row r="109" spans="1:3" x14ac:dyDescent="0.25">
      <c r="A109" t="s">
        <v>2642</v>
      </c>
      <c r="B109">
        <v>435</v>
      </c>
      <c r="C109" s="34">
        <v>0.1</v>
      </c>
    </row>
    <row r="110" spans="1:3" x14ac:dyDescent="0.25">
      <c r="A110" t="s">
        <v>2643</v>
      </c>
      <c r="B110">
        <v>437</v>
      </c>
      <c r="C110" s="34">
        <v>0.1</v>
      </c>
    </row>
    <row r="111" spans="1:3" x14ac:dyDescent="0.25">
      <c r="A111" t="s">
        <v>2644</v>
      </c>
      <c r="B111">
        <v>440</v>
      </c>
      <c r="C111" s="34">
        <v>0.9</v>
      </c>
    </row>
    <row r="112" spans="1:3" x14ac:dyDescent="0.25">
      <c r="A112" t="s">
        <v>2645</v>
      </c>
      <c r="B112">
        <v>454</v>
      </c>
      <c r="C112" s="34">
        <v>0.1</v>
      </c>
    </row>
    <row r="113" spans="1:3" x14ac:dyDescent="0.25">
      <c r="A113" t="s">
        <v>2646</v>
      </c>
      <c r="B113">
        <v>455</v>
      </c>
      <c r="C113" s="34">
        <v>0.1</v>
      </c>
    </row>
    <row r="114" spans="1:3" x14ac:dyDescent="0.25">
      <c r="A114" t="s">
        <v>2647</v>
      </c>
      <c r="B114">
        <v>457</v>
      </c>
      <c r="C114" s="34">
        <v>0.1</v>
      </c>
    </row>
    <row r="115" spans="1:3" x14ac:dyDescent="0.25">
      <c r="A115" t="s">
        <v>2648</v>
      </c>
      <c r="B115">
        <v>458</v>
      </c>
      <c r="C115" s="34">
        <v>0.1</v>
      </c>
    </row>
    <row r="116" spans="1:3" x14ac:dyDescent="0.25">
      <c r="A116" t="s">
        <v>2649</v>
      </c>
      <c r="B116">
        <v>459</v>
      </c>
      <c r="C116" s="34">
        <v>0.1</v>
      </c>
    </row>
    <row r="117" spans="1:3" x14ac:dyDescent="0.25">
      <c r="A117" t="s">
        <v>2650</v>
      </c>
      <c r="B117">
        <v>460</v>
      </c>
      <c r="C117" s="34">
        <v>0.1</v>
      </c>
    </row>
    <row r="118" spans="1:3" x14ac:dyDescent="0.25">
      <c r="A118" t="s">
        <v>2651</v>
      </c>
      <c r="B118">
        <v>462</v>
      </c>
      <c r="C118" s="34">
        <v>0.1</v>
      </c>
    </row>
    <row r="119" spans="1:3" x14ac:dyDescent="0.25">
      <c r="A119" t="s">
        <v>2652</v>
      </c>
      <c r="B119">
        <v>470</v>
      </c>
      <c r="C119" s="34">
        <v>0.9</v>
      </c>
    </row>
    <row r="120" spans="1:3" x14ac:dyDescent="0.25">
      <c r="A120" t="s">
        <v>2653</v>
      </c>
      <c r="B120">
        <v>471</v>
      </c>
    </row>
    <row r="121" spans="1:3" x14ac:dyDescent="0.25">
      <c r="A121" t="s">
        <v>2654</v>
      </c>
      <c r="B121">
        <v>480</v>
      </c>
    </row>
    <row r="122" spans="1:3" x14ac:dyDescent="0.25">
      <c r="A122" t="s">
        <v>2655</v>
      </c>
      <c r="B122">
        <v>482</v>
      </c>
    </row>
    <row r="123" spans="1:3" x14ac:dyDescent="0.25">
      <c r="A123" t="s">
        <v>2656</v>
      </c>
      <c r="B123">
        <v>485</v>
      </c>
    </row>
    <row r="124" spans="1:3" x14ac:dyDescent="0.25">
      <c r="A124" t="s">
        <v>2657</v>
      </c>
      <c r="B124">
        <v>486</v>
      </c>
    </row>
    <row r="125" spans="1:3" x14ac:dyDescent="0.25">
      <c r="A125" t="s">
        <v>2658</v>
      </c>
      <c r="B125">
        <v>487</v>
      </c>
    </row>
    <row r="126" spans="1:3" x14ac:dyDescent="0.25">
      <c r="A126" t="s">
        <v>2659</v>
      </c>
      <c r="B126">
        <v>499</v>
      </c>
    </row>
    <row r="127" spans="1:3" x14ac:dyDescent="0.25">
      <c r="A127" t="s">
        <v>2660</v>
      </c>
      <c r="B127">
        <v>501</v>
      </c>
    </row>
    <row r="128" spans="1:3" x14ac:dyDescent="0.25">
      <c r="A128" t="s">
        <v>2661</v>
      </c>
      <c r="B128">
        <v>503</v>
      </c>
    </row>
    <row r="129" spans="1:2" x14ac:dyDescent="0.25">
      <c r="A129" t="s">
        <v>2662</v>
      </c>
      <c r="B129">
        <v>505</v>
      </c>
    </row>
    <row r="130" spans="1:2" x14ac:dyDescent="0.25">
      <c r="A130" t="s">
        <v>2663</v>
      </c>
      <c r="B130">
        <v>510</v>
      </c>
    </row>
    <row r="131" spans="1:2" x14ac:dyDescent="0.25">
      <c r="A131" t="s">
        <v>2664</v>
      </c>
      <c r="B131">
        <v>511</v>
      </c>
    </row>
    <row r="132" spans="1:2" x14ac:dyDescent="0.25">
      <c r="A132" t="s">
        <v>2665</v>
      </c>
      <c r="B132">
        <v>512</v>
      </c>
    </row>
    <row r="133" spans="1:2" x14ac:dyDescent="0.25">
      <c r="A133" t="s">
        <v>2666</v>
      </c>
      <c r="B133">
        <v>525</v>
      </c>
    </row>
    <row r="134" spans="1:2" x14ac:dyDescent="0.25">
      <c r="A134" t="s">
        <v>2667</v>
      </c>
      <c r="B134">
        <v>526</v>
      </c>
    </row>
    <row r="135" spans="1:2" x14ac:dyDescent="0.25">
      <c r="A135" t="s">
        <v>2668</v>
      </c>
      <c r="B135">
        <v>530</v>
      </c>
    </row>
    <row r="136" spans="1:2" x14ac:dyDescent="0.25">
      <c r="A136" t="s">
        <v>2669</v>
      </c>
      <c r="B136">
        <v>540</v>
      </c>
    </row>
    <row r="137" spans="1:2" x14ac:dyDescent="0.25">
      <c r="A137" t="s">
        <v>2670</v>
      </c>
      <c r="B137">
        <v>544</v>
      </c>
    </row>
    <row r="138" spans="1:2" x14ac:dyDescent="0.25">
      <c r="A138" t="s">
        <v>2671</v>
      </c>
      <c r="B138">
        <v>545</v>
      </c>
    </row>
    <row r="139" spans="1:2" x14ac:dyDescent="0.25">
      <c r="A139" t="s">
        <v>2672</v>
      </c>
      <c r="B139">
        <v>560</v>
      </c>
    </row>
    <row r="140" spans="1:2" x14ac:dyDescent="0.25">
      <c r="A140" t="s">
        <v>2673</v>
      </c>
      <c r="B140">
        <v>561</v>
      </c>
    </row>
    <row r="141" spans="1:2" x14ac:dyDescent="0.25">
      <c r="A141" t="s">
        <v>2674</v>
      </c>
      <c r="B141">
        <v>570</v>
      </c>
    </row>
    <row r="142" spans="1:2" x14ac:dyDescent="0.25">
      <c r="A142" t="s">
        <v>2675</v>
      </c>
      <c r="B142">
        <v>580</v>
      </c>
    </row>
    <row r="143" spans="1:2" x14ac:dyDescent="0.25">
      <c r="A143" t="s">
        <v>2676</v>
      </c>
      <c r="B143">
        <v>592</v>
      </c>
    </row>
    <row r="144" spans="1:2" x14ac:dyDescent="0.25">
      <c r="A144" t="s">
        <v>2677</v>
      </c>
      <c r="B144">
        <v>593</v>
      </c>
    </row>
    <row r="145" spans="1:2" x14ac:dyDescent="0.25">
      <c r="A145" t="s">
        <v>2678</v>
      </c>
      <c r="B145">
        <v>599</v>
      </c>
    </row>
    <row r="146" spans="1:2" x14ac:dyDescent="0.25">
      <c r="A146" t="s">
        <v>2679</v>
      </c>
      <c r="B146">
        <v>601</v>
      </c>
    </row>
    <row r="147" spans="1:2" x14ac:dyDescent="0.25">
      <c r="A147" t="s">
        <v>2680</v>
      </c>
      <c r="B147">
        <v>602</v>
      </c>
    </row>
    <row r="148" spans="1:2" x14ac:dyDescent="0.25">
      <c r="A148" t="s">
        <v>2681</v>
      </c>
      <c r="B148">
        <v>603</v>
      </c>
    </row>
    <row r="149" spans="1:2" x14ac:dyDescent="0.25">
      <c r="A149" t="s">
        <v>2682</v>
      </c>
      <c r="B149">
        <v>605</v>
      </c>
    </row>
    <row r="150" spans="1:2" x14ac:dyDescent="0.25">
      <c r="A150" t="s">
        <v>2683</v>
      </c>
      <c r="B150">
        <v>610</v>
      </c>
    </row>
    <row r="151" spans="1:2" x14ac:dyDescent="0.25">
      <c r="A151" t="s">
        <v>2684</v>
      </c>
      <c r="B151">
        <v>620</v>
      </c>
    </row>
    <row r="152" spans="1:2" x14ac:dyDescent="0.25">
      <c r="A152" t="s">
        <v>2685</v>
      </c>
      <c r="B152">
        <v>621</v>
      </c>
    </row>
    <row r="153" spans="1:2" x14ac:dyDescent="0.25">
      <c r="A153" t="s">
        <v>2686</v>
      </c>
      <c r="B153">
        <v>622</v>
      </c>
    </row>
    <row r="154" spans="1:2" x14ac:dyDescent="0.25">
      <c r="A154" t="s">
        <v>2687</v>
      </c>
      <c r="B154">
        <v>625</v>
      </c>
    </row>
    <row r="155" spans="1:2" x14ac:dyDescent="0.25">
      <c r="A155" t="s">
        <v>2688</v>
      </c>
      <c r="B155">
        <v>630</v>
      </c>
    </row>
    <row r="156" spans="1:2" x14ac:dyDescent="0.25">
      <c r="A156" t="s">
        <v>2689</v>
      </c>
      <c r="B156">
        <v>631</v>
      </c>
    </row>
    <row r="157" spans="1:2" x14ac:dyDescent="0.25">
      <c r="A157" t="s">
        <v>2690</v>
      </c>
      <c r="B157">
        <v>633</v>
      </c>
    </row>
    <row r="158" spans="1:2" x14ac:dyDescent="0.25">
      <c r="A158" t="s">
        <v>2691</v>
      </c>
      <c r="B158">
        <v>635</v>
      </c>
    </row>
    <row r="159" spans="1:2" x14ac:dyDescent="0.25">
      <c r="A159" t="s">
        <v>2692</v>
      </c>
      <c r="B159">
        <v>636</v>
      </c>
    </row>
    <row r="160" spans="1:2" x14ac:dyDescent="0.25">
      <c r="A160" t="s">
        <v>2693</v>
      </c>
      <c r="B160">
        <v>637</v>
      </c>
    </row>
    <row r="161" spans="1:2" x14ac:dyDescent="0.25">
      <c r="A161" t="s">
        <v>2694</v>
      </c>
      <c r="B161">
        <v>638</v>
      </c>
    </row>
    <row r="162" spans="1:2" x14ac:dyDescent="0.25">
      <c r="A162" t="s">
        <v>2695</v>
      </c>
      <c r="B162">
        <v>639</v>
      </c>
    </row>
    <row r="163" spans="1:2" x14ac:dyDescent="0.25">
      <c r="A163" t="s">
        <v>2696</v>
      </c>
      <c r="B163">
        <v>640</v>
      </c>
    </row>
    <row r="164" spans="1:2" x14ac:dyDescent="0.25">
      <c r="A164" t="s">
        <v>2697</v>
      </c>
      <c r="B164">
        <v>642</v>
      </c>
    </row>
    <row r="165" spans="1:2" x14ac:dyDescent="0.25">
      <c r="A165" t="s">
        <v>2698</v>
      </c>
      <c r="B165">
        <v>644</v>
      </c>
    </row>
    <row r="166" spans="1:2" x14ac:dyDescent="0.25">
      <c r="A166" t="s">
        <v>2699</v>
      </c>
      <c r="B166">
        <v>645</v>
      </c>
    </row>
    <row r="167" spans="1:2" x14ac:dyDescent="0.25">
      <c r="A167" t="s">
        <v>2700</v>
      </c>
      <c r="B167">
        <v>646</v>
      </c>
    </row>
    <row r="168" spans="1:2" x14ac:dyDescent="0.25">
      <c r="A168" t="s">
        <v>2701</v>
      </c>
      <c r="B168">
        <v>647</v>
      </c>
    </row>
    <row r="169" spans="1:2" x14ac:dyDescent="0.25">
      <c r="A169" t="s">
        <v>2702</v>
      </c>
      <c r="B169">
        <v>648</v>
      </c>
    </row>
    <row r="170" spans="1:2" x14ac:dyDescent="0.25">
      <c r="A170" t="s">
        <v>2703</v>
      </c>
      <c r="B170">
        <v>649</v>
      </c>
    </row>
    <row r="171" spans="1:2" x14ac:dyDescent="0.25">
      <c r="A171" t="s">
        <v>2704</v>
      </c>
      <c r="B171">
        <v>650</v>
      </c>
    </row>
    <row r="172" spans="1:2" x14ac:dyDescent="0.25">
      <c r="A172" t="s">
        <v>2705</v>
      </c>
      <c r="B172">
        <v>651</v>
      </c>
    </row>
    <row r="173" spans="1:2" x14ac:dyDescent="0.25">
      <c r="A173" t="s">
        <v>2706</v>
      </c>
      <c r="B173">
        <v>660</v>
      </c>
    </row>
    <row r="174" spans="1:2" x14ac:dyDescent="0.25">
      <c r="A174" t="s">
        <v>2707</v>
      </c>
      <c r="B174">
        <v>661</v>
      </c>
    </row>
    <row r="175" spans="1:2" x14ac:dyDescent="0.25">
      <c r="A175" t="s">
        <v>2708</v>
      </c>
      <c r="B175">
        <v>662</v>
      </c>
    </row>
    <row r="176" spans="1:2" x14ac:dyDescent="0.25">
      <c r="A176" t="s">
        <v>2709</v>
      </c>
      <c r="B176">
        <v>665</v>
      </c>
    </row>
    <row r="177" spans="1:2" x14ac:dyDescent="0.25">
      <c r="A177" t="s">
        <v>2710</v>
      </c>
      <c r="B177">
        <v>667</v>
      </c>
    </row>
    <row r="178" spans="1:2" x14ac:dyDescent="0.25">
      <c r="A178" t="s">
        <v>2711</v>
      </c>
      <c r="B178">
        <v>668</v>
      </c>
    </row>
    <row r="179" spans="1:2" x14ac:dyDescent="0.25">
      <c r="A179" t="s">
        <v>2712</v>
      </c>
      <c r="B179">
        <v>669</v>
      </c>
    </row>
    <row r="180" spans="1:2" x14ac:dyDescent="0.25">
      <c r="A180" t="s">
        <v>2713</v>
      </c>
      <c r="B180">
        <v>670</v>
      </c>
    </row>
    <row r="181" spans="1:2" x14ac:dyDescent="0.25">
      <c r="A181" t="s">
        <v>2714</v>
      </c>
      <c r="B181">
        <v>671</v>
      </c>
    </row>
    <row r="182" spans="1:2" x14ac:dyDescent="0.25">
      <c r="A182" t="s">
        <v>2715</v>
      </c>
      <c r="B182">
        <v>672</v>
      </c>
    </row>
    <row r="183" spans="1:2" x14ac:dyDescent="0.25">
      <c r="A183" t="s">
        <v>2716</v>
      </c>
      <c r="B183">
        <v>673</v>
      </c>
    </row>
    <row r="184" spans="1:2" x14ac:dyDescent="0.25">
      <c r="A184" t="s">
        <v>2717</v>
      </c>
      <c r="B184">
        <v>675</v>
      </c>
    </row>
    <row r="185" spans="1:2" x14ac:dyDescent="0.25">
      <c r="A185" t="s">
        <v>2718</v>
      </c>
      <c r="B185">
        <v>679</v>
      </c>
    </row>
    <row r="186" spans="1:2" x14ac:dyDescent="0.25">
      <c r="A186" t="s">
        <v>2719</v>
      </c>
      <c r="B186">
        <v>680</v>
      </c>
    </row>
    <row r="187" spans="1:2" x14ac:dyDescent="0.25">
      <c r="A187" t="s">
        <v>2720</v>
      </c>
      <c r="B187">
        <v>681</v>
      </c>
    </row>
    <row r="188" spans="1:2" x14ac:dyDescent="0.25">
      <c r="A188" t="s">
        <v>2721</v>
      </c>
      <c r="B188">
        <v>682</v>
      </c>
    </row>
    <row r="189" spans="1:2" x14ac:dyDescent="0.25">
      <c r="A189" t="s">
        <v>2722</v>
      </c>
      <c r="B189">
        <v>683</v>
      </c>
    </row>
    <row r="190" spans="1:2" x14ac:dyDescent="0.25">
      <c r="A190" t="s">
        <v>2723</v>
      </c>
      <c r="B190">
        <v>685</v>
      </c>
    </row>
    <row r="191" spans="1:2" x14ac:dyDescent="0.25">
      <c r="A191" t="s">
        <v>2724</v>
      </c>
      <c r="B191">
        <v>688</v>
      </c>
    </row>
    <row r="192" spans="1:2" x14ac:dyDescent="0.25">
      <c r="A192" t="s">
        <v>2725</v>
      </c>
      <c r="B192">
        <v>690</v>
      </c>
    </row>
    <row r="193" spans="1:2" x14ac:dyDescent="0.25">
      <c r="A193" t="s">
        <v>2726</v>
      </c>
      <c r="B193">
        <v>696</v>
      </c>
    </row>
    <row r="194" spans="1:2" x14ac:dyDescent="0.25">
      <c r="A194" t="s">
        <v>2727</v>
      </c>
      <c r="B194">
        <v>698</v>
      </c>
    </row>
    <row r="195" spans="1:2" x14ac:dyDescent="0.25">
      <c r="A195" t="s">
        <v>2728</v>
      </c>
      <c r="B195">
        <v>699</v>
      </c>
    </row>
    <row r="196" spans="1:2" x14ac:dyDescent="0.25">
      <c r="A196" t="s">
        <v>2729</v>
      </c>
      <c r="B196">
        <v>701</v>
      </c>
    </row>
    <row r="197" spans="1:2" x14ac:dyDescent="0.25">
      <c r="A197" t="s">
        <v>2730</v>
      </c>
      <c r="B197">
        <v>704</v>
      </c>
    </row>
    <row r="198" spans="1:2" x14ac:dyDescent="0.25">
      <c r="A198" t="s">
        <v>2731</v>
      </c>
      <c r="B198">
        <v>799</v>
      </c>
    </row>
    <row r="199" spans="1:2" x14ac:dyDescent="0.25">
      <c r="A199" t="s">
        <v>2732</v>
      </c>
      <c r="B199">
        <v>801</v>
      </c>
    </row>
    <row r="200" spans="1:2" x14ac:dyDescent="0.25">
      <c r="A200" t="s">
        <v>2733</v>
      </c>
      <c r="B200">
        <v>802</v>
      </c>
    </row>
    <row r="201" spans="1:2" x14ac:dyDescent="0.25">
      <c r="A201" t="s">
        <v>2734</v>
      </c>
      <c r="B201">
        <v>803</v>
      </c>
    </row>
    <row r="202" spans="1:2" x14ac:dyDescent="0.25">
      <c r="A202" t="s">
        <v>2735</v>
      </c>
      <c r="B202">
        <v>804</v>
      </c>
    </row>
    <row r="203" spans="1:2" x14ac:dyDescent="0.25">
      <c r="A203" t="s">
        <v>2736</v>
      </c>
      <c r="B203">
        <v>806</v>
      </c>
    </row>
    <row r="204" spans="1:2" x14ac:dyDescent="0.25">
      <c r="A204" t="s">
        <v>2737</v>
      </c>
      <c r="B204">
        <v>807</v>
      </c>
    </row>
    <row r="205" spans="1:2" x14ac:dyDescent="0.25">
      <c r="A205" t="s">
        <v>2738</v>
      </c>
      <c r="B205">
        <v>808</v>
      </c>
    </row>
    <row r="206" spans="1:2" x14ac:dyDescent="0.25">
      <c r="A206" t="s">
        <v>2739</v>
      </c>
      <c r="B206">
        <v>809</v>
      </c>
    </row>
    <row r="207" spans="1:2" x14ac:dyDescent="0.25">
      <c r="A207" t="s">
        <v>2740</v>
      </c>
      <c r="B207">
        <v>810</v>
      </c>
    </row>
    <row r="208" spans="1:2" x14ac:dyDescent="0.25">
      <c r="A208" t="s">
        <v>2741</v>
      </c>
      <c r="B208">
        <v>817</v>
      </c>
    </row>
    <row r="209" spans="1:2" x14ac:dyDescent="0.25">
      <c r="A209" t="s">
        <v>2742</v>
      </c>
      <c r="B209">
        <v>819</v>
      </c>
    </row>
    <row r="210" spans="1:2" x14ac:dyDescent="0.25">
      <c r="A210" t="s">
        <v>2743</v>
      </c>
      <c r="B210">
        <v>828</v>
      </c>
    </row>
    <row r="211" spans="1:2" x14ac:dyDescent="0.25">
      <c r="A211" t="s">
        <v>2744</v>
      </c>
      <c r="B211">
        <v>830</v>
      </c>
    </row>
    <row r="212" spans="1:2" x14ac:dyDescent="0.25">
      <c r="A212" t="s">
        <v>2745</v>
      </c>
      <c r="B212">
        <v>840</v>
      </c>
    </row>
    <row r="213" spans="1:2" x14ac:dyDescent="0.25">
      <c r="A213" t="s">
        <v>2746</v>
      </c>
      <c r="B213">
        <v>850</v>
      </c>
    </row>
    <row r="214" spans="1:2" x14ac:dyDescent="0.25">
      <c r="A214" t="s">
        <v>2747</v>
      </c>
      <c r="B214">
        <v>854</v>
      </c>
    </row>
    <row r="215" spans="1:2" x14ac:dyDescent="0.25">
      <c r="A215" t="s">
        <v>2748</v>
      </c>
      <c r="B215">
        <v>855</v>
      </c>
    </row>
    <row r="216" spans="1:2" x14ac:dyDescent="0.25">
      <c r="A216" t="s">
        <v>2749</v>
      </c>
      <c r="B216">
        <v>856</v>
      </c>
    </row>
    <row r="217" spans="1:2" x14ac:dyDescent="0.25">
      <c r="A217" t="s">
        <v>2750</v>
      </c>
      <c r="B217">
        <v>858</v>
      </c>
    </row>
    <row r="218" spans="1:2" x14ac:dyDescent="0.25">
      <c r="A218" t="s">
        <v>2751</v>
      </c>
      <c r="B218">
        <v>861</v>
      </c>
    </row>
    <row r="219" spans="1:2" x14ac:dyDescent="0.25">
      <c r="A219" t="s">
        <v>2752</v>
      </c>
      <c r="B219">
        <v>871</v>
      </c>
    </row>
    <row r="220" spans="1:2" x14ac:dyDescent="0.25">
      <c r="A220" t="s">
        <v>2753</v>
      </c>
      <c r="B220">
        <v>873</v>
      </c>
    </row>
    <row r="221" spans="1:2" x14ac:dyDescent="0.25">
      <c r="A221" t="s">
        <v>2754</v>
      </c>
      <c r="B221">
        <v>880</v>
      </c>
    </row>
    <row r="222" spans="1:2" x14ac:dyDescent="0.25">
      <c r="A222" t="s">
        <v>2755</v>
      </c>
      <c r="B222">
        <v>881</v>
      </c>
    </row>
    <row r="223" spans="1:2" x14ac:dyDescent="0.25">
      <c r="A223" t="s">
        <v>2756</v>
      </c>
      <c r="B223">
        <v>890</v>
      </c>
    </row>
    <row r="224" spans="1:2" x14ac:dyDescent="0.25">
      <c r="A224" t="s">
        <v>2757</v>
      </c>
      <c r="B224">
        <v>893</v>
      </c>
    </row>
    <row r="225" spans="1:2" x14ac:dyDescent="0.25">
      <c r="A225" t="s">
        <v>2758</v>
      </c>
      <c r="B225">
        <v>895</v>
      </c>
    </row>
    <row r="226" spans="1:2" x14ac:dyDescent="0.25">
      <c r="A226" t="s">
        <v>2759</v>
      </c>
      <c r="B226">
        <v>896</v>
      </c>
    </row>
    <row r="227" spans="1:2" x14ac:dyDescent="0.25">
      <c r="A227" t="s">
        <v>2760</v>
      </c>
      <c r="B227">
        <v>898</v>
      </c>
    </row>
    <row r="228" spans="1:2" x14ac:dyDescent="0.25">
      <c r="A228" t="s">
        <v>2761</v>
      </c>
      <c r="B228">
        <v>899</v>
      </c>
    </row>
    <row r="229" spans="1:2" x14ac:dyDescent="0.25">
      <c r="A229" t="s">
        <v>2762</v>
      </c>
      <c r="B229">
        <v>901</v>
      </c>
    </row>
    <row r="230" spans="1:2" x14ac:dyDescent="0.25">
      <c r="A230" t="s">
        <v>2763</v>
      </c>
      <c r="B230">
        <v>904</v>
      </c>
    </row>
    <row r="231" spans="1:2" x14ac:dyDescent="0.25">
      <c r="A231" t="s">
        <v>2764</v>
      </c>
      <c r="B231">
        <v>905</v>
      </c>
    </row>
    <row r="232" spans="1:2" x14ac:dyDescent="0.25">
      <c r="A232" t="s">
        <v>2765</v>
      </c>
      <c r="B232">
        <v>930</v>
      </c>
    </row>
    <row r="233" spans="1:2" x14ac:dyDescent="0.25">
      <c r="A233" t="s">
        <v>2766</v>
      </c>
      <c r="B233">
        <v>935</v>
      </c>
    </row>
    <row r="234" spans="1:2" x14ac:dyDescent="0.25">
      <c r="A234" t="s">
        <v>2767</v>
      </c>
      <c r="B234">
        <v>950</v>
      </c>
    </row>
    <row r="235" spans="1:2" x14ac:dyDescent="0.25">
      <c r="A235" t="s">
        <v>2768</v>
      </c>
      <c r="B235">
        <v>958</v>
      </c>
    </row>
    <row r="236" spans="1:2" x14ac:dyDescent="0.25">
      <c r="A236" t="s">
        <v>2769</v>
      </c>
      <c r="B236">
        <v>962</v>
      </c>
    </row>
    <row r="237" spans="1:2" x14ac:dyDescent="0.25">
      <c r="A237" t="s">
        <v>2770</v>
      </c>
      <c r="B237">
        <v>963</v>
      </c>
    </row>
    <row r="238" spans="1:2" x14ac:dyDescent="0.25">
      <c r="A238" t="s">
        <v>2771</v>
      </c>
      <c r="B238">
        <v>965</v>
      </c>
    </row>
    <row r="239" spans="1:2" x14ac:dyDescent="0.25">
      <c r="A239" t="s">
        <v>2772</v>
      </c>
      <c r="B239">
        <v>967</v>
      </c>
    </row>
    <row r="240" spans="1:2" x14ac:dyDescent="0.25">
      <c r="A240" t="s">
        <v>2773</v>
      </c>
      <c r="B240">
        <v>986</v>
      </c>
    </row>
    <row r="241" spans="1:2" x14ac:dyDescent="0.25">
      <c r="A241" t="s">
        <v>2774</v>
      </c>
      <c r="B241">
        <v>987</v>
      </c>
    </row>
    <row r="242" spans="1:2" x14ac:dyDescent="0.25">
      <c r="A242" t="s">
        <v>2775</v>
      </c>
      <c r="B242">
        <v>991</v>
      </c>
    </row>
    <row r="243" spans="1:2" x14ac:dyDescent="0.25">
      <c r="A243" t="s">
        <v>2776</v>
      </c>
      <c r="B243">
        <v>993</v>
      </c>
    </row>
    <row r="244" spans="1:2" x14ac:dyDescent="0.25">
      <c r="A244" t="s">
        <v>2777</v>
      </c>
      <c r="B244">
        <v>996</v>
      </c>
    </row>
    <row r="245" spans="1:2" x14ac:dyDescent="0.25">
      <c r="A245" t="s">
        <v>2778</v>
      </c>
      <c r="B245">
        <v>998</v>
      </c>
    </row>
    <row r="246" spans="1:2" x14ac:dyDescent="0.25">
      <c r="A246" t="s">
        <v>2779</v>
      </c>
      <c r="B246">
        <v>999</v>
      </c>
    </row>
    <row r="247" spans="1:2" x14ac:dyDescent="0.25">
      <c r="A247" t="s">
        <v>2780</v>
      </c>
      <c r="B247">
        <v>1001</v>
      </c>
    </row>
    <row r="248" spans="1:2" x14ac:dyDescent="0.25">
      <c r="A248" t="s">
        <v>2781</v>
      </c>
      <c r="B248">
        <v>1008</v>
      </c>
    </row>
    <row r="249" spans="1:2" x14ac:dyDescent="0.25">
      <c r="A249" t="s">
        <v>2782</v>
      </c>
      <c r="B249">
        <v>1010</v>
      </c>
    </row>
    <row r="250" spans="1:2" x14ac:dyDescent="0.25">
      <c r="A250" t="s">
        <v>2783</v>
      </c>
      <c r="B250">
        <v>1015</v>
      </c>
    </row>
    <row r="251" spans="1:2" x14ac:dyDescent="0.25">
      <c r="A251" t="s">
        <v>2784</v>
      </c>
      <c r="B251">
        <v>1016</v>
      </c>
    </row>
    <row r="252" spans="1:2" x14ac:dyDescent="0.25">
      <c r="A252" t="s">
        <v>2785</v>
      </c>
      <c r="B252">
        <v>1020</v>
      </c>
    </row>
    <row r="253" spans="1:2" x14ac:dyDescent="0.25">
      <c r="A253" t="s">
        <v>2786</v>
      </c>
      <c r="B253">
        <v>1021</v>
      </c>
    </row>
    <row r="254" spans="1:2" x14ac:dyDescent="0.25">
      <c r="A254" t="s">
        <v>2787</v>
      </c>
      <c r="B254">
        <v>1035</v>
      </c>
    </row>
    <row r="255" spans="1:2" x14ac:dyDescent="0.25">
      <c r="A255" t="s">
        <v>2788</v>
      </c>
      <c r="B255">
        <v>1040</v>
      </c>
    </row>
    <row r="256" spans="1:2" x14ac:dyDescent="0.25">
      <c r="A256" t="s">
        <v>2789</v>
      </c>
      <c r="B256">
        <v>1046</v>
      </c>
    </row>
    <row r="257" spans="1:2" x14ac:dyDescent="0.25">
      <c r="A257" t="s">
        <v>2790</v>
      </c>
      <c r="B257">
        <v>1051</v>
      </c>
    </row>
    <row r="258" spans="1:2" x14ac:dyDescent="0.25">
      <c r="A258" t="s">
        <v>2791</v>
      </c>
      <c r="B258">
        <v>1054</v>
      </c>
    </row>
    <row r="259" spans="1:2" x14ac:dyDescent="0.25">
      <c r="A259" t="s">
        <v>2792</v>
      </c>
      <c r="B259">
        <v>1056</v>
      </c>
    </row>
    <row r="260" spans="1:2" x14ac:dyDescent="0.25">
      <c r="A260" t="s">
        <v>2793</v>
      </c>
      <c r="B260">
        <v>1060</v>
      </c>
    </row>
    <row r="261" spans="1:2" x14ac:dyDescent="0.25">
      <c r="A261" t="s">
        <v>2794</v>
      </c>
      <c r="B261">
        <v>1071</v>
      </c>
    </row>
    <row r="262" spans="1:2" x14ac:dyDescent="0.25">
      <c r="A262" t="s">
        <v>2795</v>
      </c>
      <c r="B262">
        <v>1082</v>
      </c>
    </row>
    <row r="263" spans="1:2" x14ac:dyDescent="0.25">
      <c r="A263" t="s">
        <v>2796</v>
      </c>
      <c r="B263">
        <v>1083</v>
      </c>
    </row>
    <row r="264" spans="1:2" x14ac:dyDescent="0.25">
      <c r="A264" t="s">
        <v>2797</v>
      </c>
      <c r="B264">
        <v>1084</v>
      </c>
    </row>
    <row r="265" spans="1:2" x14ac:dyDescent="0.25">
      <c r="A265" t="s">
        <v>2798</v>
      </c>
      <c r="B265">
        <v>1087</v>
      </c>
    </row>
    <row r="266" spans="1:2" x14ac:dyDescent="0.25">
      <c r="A266" t="s">
        <v>2799</v>
      </c>
      <c r="B266">
        <v>1099</v>
      </c>
    </row>
    <row r="267" spans="1:2" x14ac:dyDescent="0.25">
      <c r="A267" t="s">
        <v>2800</v>
      </c>
      <c r="B267">
        <v>1101</v>
      </c>
    </row>
    <row r="268" spans="1:2" x14ac:dyDescent="0.25">
      <c r="A268" t="s">
        <v>2801</v>
      </c>
      <c r="B268">
        <v>1102</v>
      </c>
    </row>
    <row r="269" spans="1:2" x14ac:dyDescent="0.25">
      <c r="A269" t="s">
        <v>2802</v>
      </c>
      <c r="B269">
        <v>1103</v>
      </c>
    </row>
    <row r="270" spans="1:2" x14ac:dyDescent="0.25">
      <c r="A270" t="s">
        <v>2803</v>
      </c>
      <c r="B270">
        <v>1104</v>
      </c>
    </row>
    <row r="271" spans="1:2" x14ac:dyDescent="0.25">
      <c r="A271" t="s">
        <v>2804</v>
      </c>
      <c r="B271">
        <v>1105</v>
      </c>
    </row>
    <row r="272" spans="1:2" x14ac:dyDescent="0.25">
      <c r="A272" t="s">
        <v>2805</v>
      </c>
      <c r="B272">
        <v>1106</v>
      </c>
    </row>
    <row r="273" spans="1:2" x14ac:dyDescent="0.25">
      <c r="A273" t="s">
        <v>2806</v>
      </c>
      <c r="B273">
        <v>1107</v>
      </c>
    </row>
    <row r="274" spans="1:2" x14ac:dyDescent="0.25">
      <c r="A274" t="s">
        <v>2807</v>
      </c>
      <c r="B274">
        <v>1109</v>
      </c>
    </row>
    <row r="275" spans="1:2" x14ac:dyDescent="0.25">
      <c r="A275" t="s">
        <v>2808</v>
      </c>
      <c r="B275">
        <v>1130</v>
      </c>
    </row>
    <row r="276" spans="1:2" x14ac:dyDescent="0.25">
      <c r="A276" t="s">
        <v>2809</v>
      </c>
      <c r="B276">
        <v>1140</v>
      </c>
    </row>
    <row r="277" spans="1:2" x14ac:dyDescent="0.25">
      <c r="A277" t="s">
        <v>2810</v>
      </c>
      <c r="B277">
        <v>1144</v>
      </c>
    </row>
    <row r="278" spans="1:2" x14ac:dyDescent="0.25">
      <c r="A278" t="s">
        <v>2811</v>
      </c>
      <c r="B278">
        <v>1145</v>
      </c>
    </row>
    <row r="279" spans="1:2" x14ac:dyDescent="0.25">
      <c r="A279" t="s">
        <v>2812</v>
      </c>
      <c r="B279">
        <v>1146</v>
      </c>
    </row>
    <row r="280" spans="1:2" x14ac:dyDescent="0.25">
      <c r="A280" t="s">
        <v>2813</v>
      </c>
      <c r="B280">
        <v>1147</v>
      </c>
    </row>
    <row r="281" spans="1:2" x14ac:dyDescent="0.25">
      <c r="A281" t="s">
        <v>2814</v>
      </c>
      <c r="B281">
        <v>1150</v>
      </c>
    </row>
    <row r="282" spans="1:2" x14ac:dyDescent="0.25">
      <c r="A282" t="s">
        <v>2815</v>
      </c>
      <c r="B282">
        <v>1152</v>
      </c>
    </row>
    <row r="283" spans="1:2" x14ac:dyDescent="0.25">
      <c r="A283" t="s">
        <v>2816</v>
      </c>
      <c r="B283">
        <v>1160</v>
      </c>
    </row>
    <row r="284" spans="1:2" x14ac:dyDescent="0.25">
      <c r="A284" t="s">
        <v>2817</v>
      </c>
      <c r="B284">
        <v>1163</v>
      </c>
    </row>
    <row r="285" spans="1:2" x14ac:dyDescent="0.25">
      <c r="A285" t="s">
        <v>2818</v>
      </c>
      <c r="B285">
        <v>1165</v>
      </c>
    </row>
    <row r="286" spans="1:2" x14ac:dyDescent="0.25">
      <c r="A286" t="s">
        <v>2819</v>
      </c>
      <c r="B286">
        <v>1169</v>
      </c>
    </row>
    <row r="287" spans="1:2" x14ac:dyDescent="0.25">
      <c r="A287" t="s">
        <v>2820</v>
      </c>
      <c r="B287">
        <v>1170</v>
      </c>
    </row>
    <row r="288" spans="1:2" x14ac:dyDescent="0.25">
      <c r="A288" t="s">
        <v>2821</v>
      </c>
      <c r="B288">
        <v>1171</v>
      </c>
    </row>
    <row r="289" spans="1:2" x14ac:dyDescent="0.25">
      <c r="A289" t="s">
        <v>2822</v>
      </c>
      <c r="B289">
        <v>1173</v>
      </c>
    </row>
    <row r="290" spans="1:2" x14ac:dyDescent="0.25">
      <c r="A290" t="s">
        <v>2823</v>
      </c>
      <c r="B290">
        <v>1176</v>
      </c>
    </row>
    <row r="291" spans="1:2" x14ac:dyDescent="0.25">
      <c r="A291" t="s">
        <v>2824</v>
      </c>
      <c r="B291">
        <v>1199</v>
      </c>
    </row>
    <row r="292" spans="1:2" x14ac:dyDescent="0.25">
      <c r="A292" t="s">
        <v>2825</v>
      </c>
      <c r="B292">
        <v>1202</v>
      </c>
    </row>
    <row r="293" spans="1:2" x14ac:dyDescent="0.25">
      <c r="A293" t="s">
        <v>2826</v>
      </c>
      <c r="B293">
        <v>1210</v>
      </c>
    </row>
    <row r="294" spans="1:2" x14ac:dyDescent="0.25">
      <c r="A294" t="s">
        <v>2827</v>
      </c>
      <c r="B294">
        <v>1220</v>
      </c>
    </row>
    <row r="295" spans="1:2" x14ac:dyDescent="0.25">
      <c r="A295" t="s">
        <v>2828</v>
      </c>
      <c r="B295">
        <v>1221</v>
      </c>
    </row>
    <row r="296" spans="1:2" x14ac:dyDescent="0.25">
      <c r="A296" t="s">
        <v>2829</v>
      </c>
      <c r="B296">
        <v>1222</v>
      </c>
    </row>
    <row r="297" spans="1:2" x14ac:dyDescent="0.25">
      <c r="A297" t="s">
        <v>2830</v>
      </c>
      <c r="B297">
        <v>1223</v>
      </c>
    </row>
    <row r="298" spans="1:2" x14ac:dyDescent="0.25">
      <c r="A298" t="s">
        <v>2831</v>
      </c>
      <c r="B298">
        <v>1224</v>
      </c>
    </row>
    <row r="299" spans="1:2" x14ac:dyDescent="0.25">
      <c r="A299" t="s">
        <v>2832</v>
      </c>
      <c r="B299">
        <v>1226</v>
      </c>
    </row>
    <row r="300" spans="1:2" x14ac:dyDescent="0.25">
      <c r="A300" t="s">
        <v>2833</v>
      </c>
      <c r="B300">
        <v>1299</v>
      </c>
    </row>
    <row r="301" spans="1:2" x14ac:dyDescent="0.25">
      <c r="A301" t="s">
        <v>2834</v>
      </c>
      <c r="B301">
        <v>1301</v>
      </c>
    </row>
    <row r="302" spans="1:2" x14ac:dyDescent="0.25">
      <c r="A302" t="s">
        <v>2835</v>
      </c>
      <c r="B302">
        <v>1306</v>
      </c>
    </row>
    <row r="303" spans="1:2" x14ac:dyDescent="0.25">
      <c r="A303" t="s">
        <v>2836</v>
      </c>
      <c r="B303">
        <v>1310</v>
      </c>
    </row>
    <row r="304" spans="1:2" x14ac:dyDescent="0.25">
      <c r="A304" t="s">
        <v>2837</v>
      </c>
      <c r="B304">
        <v>1311</v>
      </c>
    </row>
    <row r="305" spans="1:2" x14ac:dyDescent="0.25">
      <c r="A305" t="s">
        <v>2838</v>
      </c>
      <c r="B305">
        <v>1313</v>
      </c>
    </row>
    <row r="306" spans="1:2" x14ac:dyDescent="0.25">
      <c r="A306" t="s">
        <v>2839</v>
      </c>
      <c r="B306">
        <v>1315</v>
      </c>
    </row>
    <row r="307" spans="1:2" x14ac:dyDescent="0.25">
      <c r="A307" t="s">
        <v>2840</v>
      </c>
      <c r="B307">
        <v>1316</v>
      </c>
    </row>
    <row r="308" spans="1:2" x14ac:dyDescent="0.25">
      <c r="A308" t="s">
        <v>2841</v>
      </c>
      <c r="B308">
        <v>1320</v>
      </c>
    </row>
    <row r="309" spans="1:2" x14ac:dyDescent="0.25">
      <c r="A309" t="s">
        <v>2842</v>
      </c>
      <c r="B309">
        <v>1321</v>
      </c>
    </row>
    <row r="310" spans="1:2" x14ac:dyDescent="0.25">
      <c r="A310" t="s">
        <v>2843</v>
      </c>
      <c r="B310">
        <v>1330</v>
      </c>
    </row>
    <row r="311" spans="1:2" x14ac:dyDescent="0.25">
      <c r="A311" t="s">
        <v>2844</v>
      </c>
      <c r="B311">
        <v>1340</v>
      </c>
    </row>
    <row r="312" spans="1:2" x14ac:dyDescent="0.25">
      <c r="A312" t="s">
        <v>2845</v>
      </c>
      <c r="B312">
        <v>1341</v>
      </c>
    </row>
    <row r="313" spans="1:2" x14ac:dyDescent="0.25">
      <c r="A313" t="s">
        <v>2846</v>
      </c>
      <c r="B313">
        <v>1350</v>
      </c>
    </row>
    <row r="314" spans="1:2" x14ac:dyDescent="0.25">
      <c r="A314" t="s">
        <v>2847</v>
      </c>
      <c r="B314">
        <v>1360</v>
      </c>
    </row>
    <row r="315" spans="1:2" x14ac:dyDescent="0.25">
      <c r="A315" t="s">
        <v>2848</v>
      </c>
      <c r="B315">
        <v>1361</v>
      </c>
    </row>
    <row r="316" spans="1:2" x14ac:dyDescent="0.25">
      <c r="A316" t="s">
        <v>2849</v>
      </c>
      <c r="B316">
        <v>1370</v>
      </c>
    </row>
    <row r="317" spans="1:2" x14ac:dyDescent="0.25">
      <c r="A317" t="s">
        <v>2850</v>
      </c>
      <c r="B317">
        <v>1371</v>
      </c>
    </row>
    <row r="318" spans="1:2" x14ac:dyDescent="0.25">
      <c r="A318" t="s">
        <v>2851</v>
      </c>
      <c r="B318">
        <v>1372</v>
      </c>
    </row>
    <row r="319" spans="1:2" x14ac:dyDescent="0.25">
      <c r="A319" t="s">
        <v>2852</v>
      </c>
      <c r="B319">
        <v>1373</v>
      </c>
    </row>
    <row r="320" spans="1:2" x14ac:dyDescent="0.25">
      <c r="A320" t="s">
        <v>2853</v>
      </c>
      <c r="B320">
        <v>1374</v>
      </c>
    </row>
    <row r="321" spans="1:2" x14ac:dyDescent="0.25">
      <c r="A321" t="s">
        <v>2854</v>
      </c>
      <c r="B321">
        <v>1380</v>
      </c>
    </row>
    <row r="322" spans="1:2" x14ac:dyDescent="0.25">
      <c r="A322" t="s">
        <v>2855</v>
      </c>
      <c r="B322">
        <v>1382</v>
      </c>
    </row>
    <row r="323" spans="1:2" x14ac:dyDescent="0.25">
      <c r="A323" t="s">
        <v>2856</v>
      </c>
      <c r="B323">
        <v>1384</v>
      </c>
    </row>
    <row r="324" spans="1:2" x14ac:dyDescent="0.25">
      <c r="A324" t="s">
        <v>2857</v>
      </c>
      <c r="B324">
        <v>1386</v>
      </c>
    </row>
    <row r="325" spans="1:2" x14ac:dyDescent="0.25">
      <c r="A325" t="s">
        <v>2858</v>
      </c>
      <c r="B325">
        <v>1397</v>
      </c>
    </row>
    <row r="326" spans="1:2" x14ac:dyDescent="0.25">
      <c r="A326" t="s">
        <v>2859</v>
      </c>
      <c r="B326">
        <v>1398</v>
      </c>
    </row>
    <row r="327" spans="1:2" x14ac:dyDescent="0.25">
      <c r="A327" t="s">
        <v>2860</v>
      </c>
      <c r="B327">
        <v>1399</v>
      </c>
    </row>
    <row r="328" spans="1:2" x14ac:dyDescent="0.25">
      <c r="A328" t="s">
        <v>2861</v>
      </c>
      <c r="B328">
        <v>1410</v>
      </c>
    </row>
    <row r="329" spans="1:2" x14ac:dyDescent="0.25">
      <c r="A329" t="s">
        <v>2862</v>
      </c>
      <c r="B329">
        <v>1411</v>
      </c>
    </row>
    <row r="330" spans="1:2" x14ac:dyDescent="0.25">
      <c r="A330" t="s">
        <v>2863</v>
      </c>
      <c r="B330">
        <v>1412</v>
      </c>
    </row>
    <row r="331" spans="1:2" x14ac:dyDescent="0.25">
      <c r="A331" t="s">
        <v>2864</v>
      </c>
      <c r="B331">
        <v>1420</v>
      </c>
    </row>
    <row r="332" spans="1:2" x14ac:dyDescent="0.25">
      <c r="A332" t="s">
        <v>2865</v>
      </c>
      <c r="B332">
        <v>1421</v>
      </c>
    </row>
    <row r="333" spans="1:2" x14ac:dyDescent="0.25">
      <c r="A333" t="s">
        <v>2866</v>
      </c>
      <c r="B333">
        <v>1499</v>
      </c>
    </row>
    <row r="334" spans="1:2" x14ac:dyDescent="0.25">
      <c r="A334" t="s">
        <v>2867</v>
      </c>
      <c r="B334">
        <v>1501</v>
      </c>
    </row>
    <row r="335" spans="1:2" x14ac:dyDescent="0.25">
      <c r="A335" t="s">
        <v>2868</v>
      </c>
      <c r="B335">
        <v>1510</v>
      </c>
    </row>
    <row r="336" spans="1:2" x14ac:dyDescent="0.25">
      <c r="A336" t="s">
        <v>2869</v>
      </c>
      <c r="B336">
        <v>1515</v>
      </c>
    </row>
    <row r="337" spans="1:2" x14ac:dyDescent="0.25">
      <c r="A337" t="s">
        <v>2870</v>
      </c>
      <c r="B337">
        <v>1520</v>
      </c>
    </row>
    <row r="338" spans="1:2" x14ac:dyDescent="0.25">
      <c r="A338" t="s">
        <v>2871</v>
      </c>
      <c r="B338">
        <v>1521</v>
      </c>
    </row>
    <row r="339" spans="1:2" x14ac:dyDescent="0.25">
      <c r="A339" t="s">
        <v>2872</v>
      </c>
      <c r="B339">
        <v>1529</v>
      </c>
    </row>
    <row r="340" spans="1:2" x14ac:dyDescent="0.25">
      <c r="A340" t="s">
        <v>2873</v>
      </c>
      <c r="B340">
        <v>1530</v>
      </c>
    </row>
    <row r="341" spans="1:2" x14ac:dyDescent="0.25">
      <c r="A341" t="s">
        <v>2874</v>
      </c>
      <c r="B341">
        <v>1531</v>
      </c>
    </row>
    <row r="342" spans="1:2" x14ac:dyDescent="0.25">
      <c r="A342" t="s">
        <v>2875</v>
      </c>
      <c r="B342">
        <v>1541</v>
      </c>
    </row>
    <row r="343" spans="1:2" x14ac:dyDescent="0.25">
      <c r="A343" t="s">
        <v>2876</v>
      </c>
      <c r="B343">
        <v>1550</v>
      </c>
    </row>
    <row r="344" spans="1:2" x14ac:dyDescent="0.25">
      <c r="A344" t="s">
        <v>2877</v>
      </c>
      <c r="B344">
        <v>1598</v>
      </c>
    </row>
    <row r="345" spans="1:2" x14ac:dyDescent="0.25">
      <c r="A345" t="s">
        <v>2878</v>
      </c>
      <c r="B345">
        <v>1599</v>
      </c>
    </row>
    <row r="346" spans="1:2" x14ac:dyDescent="0.25">
      <c r="A346" t="s">
        <v>2879</v>
      </c>
      <c r="B346">
        <v>1601</v>
      </c>
    </row>
    <row r="347" spans="1:2" x14ac:dyDescent="0.25">
      <c r="A347" t="s">
        <v>2880</v>
      </c>
      <c r="B347">
        <v>1603</v>
      </c>
    </row>
    <row r="348" spans="1:2" x14ac:dyDescent="0.25">
      <c r="A348" t="s">
        <v>2881</v>
      </c>
      <c r="B348">
        <v>1630</v>
      </c>
    </row>
    <row r="349" spans="1:2" x14ac:dyDescent="0.25">
      <c r="A349" t="s">
        <v>2882</v>
      </c>
      <c r="B349">
        <v>1640</v>
      </c>
    </row>
    <row r="350" spans="1:2" x14ac:dyDescent="0.25">
      <c r="A350" t="s">
        <v>2883</v>
      </c>
      <c r="B350">
        <v>1654</v>
      </c>
    </row>
    <row r="351" spans="1:2" x14ac:dyDescent="0.25">
      <c r="A351" t="s">
        <v>2884</v>
      </c>
      <c r="B351">
        <v>1658</v>
      </c>
    </row>
    <row r="352" spans="1:2" x14ac:dyDescent="0.25">
      <c r="A352" t="s">
        <v>2885</v>
      </c>
      <c r="B352">
        <v>1667</v>
      </c>
    </row>
    <row r="353" spans="1:2" x14ac:dyDescent="0.25">
      <c r="A353" t="s">
        <v>2886</v>
      </c>
      <c r="B353">
        <v>1670</v>
      </c>
    </row>
    <row r="354" spans="1:2" x14ac:dyDescent="0.25">
      <c r="A354" t="s">
        <v>2887</v>
      </c>
      <c r="B354">
        <v>1699</v>
      </c>
    </row>
    <row r="355" spans="1:2" x14ac:dyDescent="0.25">
      <c r="A355" t="s">
        <v>2888</v>
      </c>
      <c r="B355">
        <v>1701</v>
      </c>
    </row>
    <row r="356" spans="1:2" x14ac:dyDescent="0.25">
      <c r="A356" t="s">
        <v>2889</v>
      </c>
      <c r="B356">
        <v>1702</v>
      </c>
    </row>
    <row r="357" spans="1:2" x14ac:dyDescent="0.25">
      <c r="A357" t="s">
        <v>2890</v>
      </c>
      <c r="B357">
        <v>1710</v>
      </c>
    </row>
    <row r="358" spans="1:2" x14ac:dyDescent="0.25">
      <c r="A358" t="s">
        <v>2891</v>
      </c>
      <c r="B358">
        <v>1712</v>
      </c>
    </row>
    <row r="359" spans="1:2" x14ac:dyDescent="0.25">
      <c r="A359" t="s">
        <v>2892</v>
      </c>
      <c r="B359">
        <v>1715</v>
      </c>
    </row>
    <row r="360" spans="1:2" x14ac:dyDescent="0.25">
      <c r="A360" t="s">
        <v>2893</v>
      </c>
      <c r="B360">
        <v>1720</v>
      </c>
    </row>
    <row r="361" spans="1:2" x14ac:dyDescent="0.25">
      <c r="A361" t="s">
        <v>2894</v>
      </c>
      <c r="B361">
        <v>1725</v>
      </c>
    </row>
    <row r="362" spans="1:2" x14ac:dyDescent="0.25">
      <c r="A362" t="s">
        <v>2895</v>
      </c>
      <c r="B362">
        <v>1730</v>
      </c>
    </row>
    <row r="363" spans="1:2" x14ac:dyDescent="0.25">
      <c r="A363" t="s">
        <v>2896</v>
      </c>
      <c r="B363">
        <v>1740</v>
      </c>
    </row>
    <row r="364" spans="1:2" x14ac:dyDescent="0.25">
      <c r="A364" t="s">
        <v>2897</v>
      </c>
      <c r="B364">
        <v>1750</v>
      </c>
    </row>
    <row r="365" spans="1:2" x14ac:dyDescent="0.25">
      <c r="A365" t="s">
        <v>2898</v>
      </c>
      <c r="B365">
        <v>1799</v>
      </c>
    </row>
    <row r="366" spans="1:2" x14ac:dyDescent="0.25">
      <c r="A366" t="s">
        <v>2899</v>
      </c>
      <c r="B366">
        <v>1801</v>
      </c>
    </row>
    <row r="367" spans="1:2" x14ac:dyDescent="0.25">
      <c r="A367" t="s">
        <v>2900</v>
      </c>
      <c r="B367">
        <v>1802</v>
      </c>
    </row>
    <row r="368" spans="1:2" x14ac:dyDescent="0.25">
      <c r="A368" t="s">
        <v>2901</v>
      </c>
      <c r="B368">
        <v>1805</v>
      </c>
    </row>
    <row r="369" spans="1:2" x14ac:dyDescent="0.25">
      <c r="A369" t="s">
        <v>2902</v>
      </c>
      <c r="B369">
        <v>1810</v>
      </c>
    </row>
    <row r="370" spans="1:2" x14ac:dyDescent="0.25">
      <c r="A370" t="s">
        <v>2903</v>
      </c>
      <c r="B370">
        <v>1811</v>
      </c>
    </row>
    <row r="371" spans="1:2" x14ac:dyDescent="0.25">
      <c r="A371" t="s">
        <v>2904</v>
      </c>
      <c r="B371">
        <v>1815</v>
      </c>
    </row>
    <row r="372" spans="1:2" x14ac:dyDescent="0.25">
      <c r="A372" t="s">
        <v>2905</v>
      </c>
      <c r="B372">
        <v>1822</v>
      </c>
    </row>
    <row r="373" spans="1:2" x14ac:dyDescent="0.25">
      <c r="A373" t="s">
        <v>2906</v>
      </c>
      <c r="B373">
        <v>1825</v>
      </c>
    </row>
    <row r="374" spans="1:2" x14ac:dyDescent="0.25">
      <c r="A374" t="s">
        <v>2907</v>
      </c>
      <c r="B374">
        <v>1831</v>
      </c>
    </row>
    <row r="375" spans="1:2" x14ac:dyDescent="0.25">
      <c r="A375" t="s">
        <v>2908</v>
      </c>
      <c r="B375">
        <v>1849</v>
      </c>
    </row>
    <row r="376" spans="1:2" x14ac:dyDescent="0.25">
      <c r="A376" t="s">
        <v>2909</v>
      </c>
      <c r="B376">
        <v>1850</v>
      </c>
    </row>
    <row r="377" spans="1:2" x14ac:dyDescent="0.25">
      <c r="A377" t="s">
        <v>2910</v>
      </c>
      <c r="B377">
        <v>1860</v>
      </c>
    </row>
    <row r="378" spans="1:2" x14ac:dyDescent="0.25">
      <c r="A378" t="s">
        <v>2911</v>
      </c>
      <c r="B378">
        <v>1862</v>
      </c>
    </row>
    <row r="379" spans="1:2" x14ac:dyDescent="0.25">
      <c r="A379" t="s">
        <v>2912</v>
      </c>
      <c r="B379">
        <v>1863</v>
      </c>
    </row>
    <row r="380" spans="1:2" x14ac:dyDescent="0.25">
      <c r="A380" t="s">
        <v>2913</v>
      </c>
      <c r="B380">
        <v>1881</v>
      </c>
    </row>
    <row r="381" spans="1:2" x14ac:dyDescent="0.25">
      <c r="A381" t="s">
        <v>2914</v>
      </c>
      <c r="B381">
        <v>1889</v>
      </c>
    </row>
    <row r="382" spans="1:2" x14ac:dyDescent="0.25">
      <c r="A382" t="s">
        <v>2915</v>
      </c>
      <c r="B382">
        <v>1894</v>
      </c>
    </row>
    <row r="383" spans="1:2" x14ac:dyDescent="0.25">
      <c r="A383" t="s">
        <v>2916</v>
      </c>
      <c r="B383">
        <v>1895</v>
      </c>
    </row>
    <row r="384" spans="1:2" x14ac:dyDescent="0.25">
      <c r="A384" t="s">
        <v>2917</v>
      </c>
      <c r="B384">
        <v>1896</v>
      </c>
    </row>
    <row r="385" spans="1:2" x14ac:dyDescent="0.25">
      <c r="A385" t="s">
        <v>2918</v>
      </c>
      <c r="B385">
        <v>1899</v>
      </c>
    </row>
    <row r="386" spans="1:2" x14ac:dyDescent="0.25">
      <c r="A386" t="s">
        <v>2919</v>
      </c>
      <c r="B386">
        <v>1910</v>
      </c>
    </row>
    <row r="387" spans="1:2" x14ac:dyDescent="0.25">
      <c r="A387" t="s">
        <v>2920</v>
      </c>
      <c r="B387">
        <v>1980</v>
      </c>
    </row>
    <row r="388" spans="1:2" x14ac:dyDescent="0.25">
      <c r="A388" t="s">
        <v>2921</v>
      </c>
      <c r="B388">
        <v>1981</v>
      </c>
    </row>
    <row r="389" spans="1:2" x14ac:dyDescent="0.25">
      <c r="A389" t="s">
        <v>2922</v>
      </c>
      <c r="B389">
        <v>1999</v>
      </c>
    </row>
    <row r="390" spans="1:2" x14ac:dyDescent="0.25">
      <c r="A390" t="s">
        <v>2923</v>
      </c>
      <c r="B390">
        <v>2001</v>
      </c>
    </row>
    <row r="391" spans="1:2" x14ac:dyDescent="0.25">
      <c r="A391" t="s">
        <v>2924</v>
      </c>
      <c r="B391">
        <v>2003</v>
      </c>
    </row>
    <row r="392" spans="1:2" x14ac:dyDescent="0.25">
      <c r="A392" t="s">
        <v>2925</v>
      </c>
      <c r="B392">
        <v>2005</v>
      </c>
    </row>
    <row r="393" spans="1:2" x14ac:dyDescent="0.25">
      <c r="A393" t="s">
        <v>2926</v>
      </c>
      <c r="B393">
        <v>2010</v>
      </c>
    </row>
    <row r="394" spans="1:2" x14ac:dyDescent="0.25">
      <c r="A394" t="s">
        <v>2927</v>
      </c>
      <c r="B394">
        <v>2030</v>
      </c>
    </row>
    <row r="395" spans="1:2" x14ac:dyDescent="0.25">
      <c r="A395" t="s">
        <v>2928</v>
      </c>
      <c r="B395">
        <v>2032</v>
      </c>
    </row>
    <row r="396" spans="1:2" x14ac:dyDescent="0.25">
      <c r="A396" t="s">
        <v>2929</v>
      </c>
      <c r="B396">
        <v>2091</v>
      </c>
    </row>
    <row r="397" spans="1:2" x14ac:dyDescent="0.25">
      <c r="A397" t="s">
        <v>2930</v>
      </c>
      <c r="B397">
        <v>2099</v>
      </c>
    </row>
    <row r="398" spans="1:2" x14ac:dyDescent="0.25">
      <c r="A398" t="s">
        <v>2931</v>
      </c>
      <c r="B398">
        <v>2101</v>
      </c>
    </row>
    <row r="399" spans="1:2" x14ac:dyDescent="0.25">
      <c r="A399" t="s">
        <v>2932</v>
      </c>
      <c r="B399">
        <v>2102</v>
      </c>
    </row>
    <row r="400" spans="1:2" x14ac:dyDescent="0.25">
      <c r="A400" t="s">
        <v>2933</v>
      </c>
      <c r="B400">
        <v>2110</v>
      </c>
    </row>
    <row r="401" spans="1:2" x14ac:dyDescent="0.25">
      <c r="A401" t="s">
        <v>2934</v>
      </c>
      <c r="B401">
        <v>2121</v>
      </c>
    </row>
    <row r="402" spans="1:2" x14ac:dyDescent="0.25">
      <c r="A402" t="s">
        <v>2935</v>
      </c>
      <c r="B402">
        <v>2123</v>
      </c>
    </row>
    <row r="403" spans="1:2" x14ac:dyDescent="0.25">
      <c r="A403" t="s">
        <v>2936</v>
      </c>
      <c r="B403">
        <v>2125</v>
      </c>
    </row>
    <row r="404" spans="1:2" x14ac:dyDescent="0.25">
      <c r="A404" t="s">
        <v>2937</v>
      </c>
      <c r="B404">
        <v>2130</v>
      </c>
    </row>
    <row r="405" spans="1:2" x14ac:dyDescent="0.25">
      <c r="A405" t="s">
        <v>2938</v>
      </c>
      <c r="B405">
        <v>2131</v>
      </c>
    </row>
    <row r="406" spans="1:2" x14ac:dyDescent="0.25">
      <c r="A406" t="s">
        <v>2939</v>
      </c>
      <c r="B406">
        <v>2135</v>
      </c>
    </row>
    <row r="407" spans="1:2" x14ac:dyDescent="0.25">
      <c r="A407" t="s">
        <v>2940</v>
      </c>
      <c r="B407">
        <v>2144</v>
      </c>
    </row>
    <row r="408" spans="1:2" x14ac:dyDescent="0.25">
      <c r="A408" t="s">
        <v>2941</v>
      </c>
      <c r="B408">
        <v>2150</v>
      </c>
    </row>
    <row r="409" spans="1:2" x14ac:dyDescent="0.25">
      <c r="A409" t="s">
        <v>2942</v>
      </c>
      <c r="B409">
        <v>2151</v>
      </c>
    </row>
    <row r="410" spans="1:2" x14ac:dyDescent="0.25">
      <c r="A410" t="s">
        <v>2943</v>
      </c>
      <c r="B410">
        <v>2152</v>
      </c>
    </row>
    <row r="411" spans="1:2" x14ac:dyDescent="0.25">
      <c r="A411" t="s">
        <v>2944</v>
      </c>
      <c r="B411">
        <v>2154</v>
      </c>
    </row>
    <row r="412" spans="1:2" x14ac:dyDescent="0.25">
      <c r="A412" t="s">
        <v>2945</v>
      </c>
      <c r="B412">
        <v>2161</v>
      </c>
    </row>
    <row r="413" spans="1:2" x14ac:dyDescent="0.25">
      <c r="A413" t="s">
        <v>2946</v>
      </c>
      <c r="B413">
        <v>2181</v>
      </c>
    </row>
    <row r="414" spans="1:2" x14ac:dyDescent="0.25">
      <c r="A414" t="s">
        <v>2947</v>
      </c>
      <c r="B414">
        <v>2183</v>
      </c>
    </row>
    <row r="415" spans="1:2" x14ac:dyDescent="0.25">
      <c r="A415" t="s">
        <v>2948</v>
      </c>
      <c r="B415">
        <v>2185</v>
      </c>
    </row>
    <row r="416" spans="1:2" x14ac:dyDescent="0.25">
      <c r="A416" t="s">
        <v>2949</v>
      </c>
      <c r="B416">
        <v>2186</v>
      </c>
    </row>
    <row r="417" spans="1:2" x14ac:dyDescent="0.25">
      <c r="A417" t="s">
        <v>2950</v>
      </c>
      <c r="B417">
        <v>2199</v>
      </c>
    </row>
    <row r="418" spans="1:2" x14ac:dyDescent="0.25">
      <c r="A418" t="s">
        <v>2951</v>
      </c>
      <c r="B418">
        <v>2210</v>
      </c>
    </row>
    <row r="419" spans="1:2" x14ac:dyDescent="0.25">
      <c r="A419" t="s">
        <v>2952</v>
      </c>
      <c r="B419">
        <v>2299</v>
      </c>
    </row>
    <row r="420" spans="1:2" x14ac:dyDescent="0.25">
      <c r="A420" t="s">
        <v>2953</v>
      </c>
      <c r="B420">
        <v>2501</v>
      </c>
    </row>
    <row r="421" spans="1:2" x14ac:dyDescent="0.25">
      <c r="A421" t="s">
        <v>2954</v>
      </c>
      <c r="B421">
        <v>2502</v>
      </c>
    </row>
    <row r="422" spans="1:2" x14ac:dyDescent="0.25">
      <c r="A422" t="s">
        <v>2955</v>
      </c>
      <c r="B422">
        <v>2504</v>
      </c>
    </row>
    <row r="423" spans="1:2" x14ac:dyDescent="0.25">
      <c r="A423" t="s">
        <v>2956</v>
      </c>
      <c r="B423">
        <v>2601</v>
      </c>
    </row>
    <row r="424" spans="1:2" x14ac:dyDescent="0.25">
      <c r="A424" t="s">
        <v>2957</v>
      </c>
      <c r="B424">
        <v>2602</v>
      </c>
    </row>
    <row r="425" spans="1:2" x14ac:dyDescent="0.25">
      <c r="A425" t="s">
        <v>2958</v>
      </c>
      <c r="B425">
        <v>2604</v>
      </c>
    </row>
    <row r="426" spans="1:2" x14ac:dyDescent="0.25">
      <c r="A426" t="s">
        <v>2959</v>
      </c>
      <c r="B426">
        <v>2606</v>
      </c>
    </row>
    <row r="427" spans="1:2" x14ac:dyDescent="0.25">
      <c r="A427" t="s">
        <v>2960</v>
      </c>
      <c r="B427">
        <v>2608</v>
      </c>
    </row>
    <row r="428" spans="1:2" x14ac:dyDescent="0.25">
      <c r="A428" t="s">
        <v>2961</v>
      </c>
      <c r="B428">
        <v>2610</v>
      </c>
    </row>
    <row r="429" spans="1:2" x14ac:dyDescent="0.25">
      <c r="A429" t="s">
        <v>2962</v>
      </c>
      <c r="B429">
        <v>2801</v>
      </c>
    </row>
    <row r="430" spans="1:2" x14ac:dyDescent="0.25">
      <c r="A430" t="s">
        <v>2963</v>
      </c>
      <c r="B430">
        <v>2805</v>
      </c>
    </row>
    <row r="431" spans="1:2" x14ac:dyDescent="0.25">
      <c r="A431" t="s">
        <v>2964</v>
      </c>
      <c r="B431">
        <v>2810</v>
      </c>
    </row>
    <row r="432" spans="1:2" x14ac:dyDescent="0.25">
      <c r="A432" t="s">
        <v>2965</v>
      </c>
      <c r="B432">
        <v>2854</v>
      </c>
    </row>
    <row r="433" spans="1:2" x14ac:dyDescent="0.25">
      <c r="A433" t="s">
        <v>2966</v>
      </c>
      <c r="B433">
        <v>2892</v>
      </c>
    </row>
    <row r="434" spans="1:2" x14ac:dyDescent="0.25">
      <c r="A434" t="s">
        <v>2967</v>
      </c>
      <c r="B434">
        <v>3101</v>
      </c>
    </row>
    <row r="435" spans="1:2" x14ac:dyDescent="0.25">
      <c r="A435" t="s">
        <v>2968</v>
      </c>
      <c r="B435">
        <v>3105</v>
      </c>
    </row>
    <row r="436" spans="1:2" x14ac:dyDescent="0.25">
      <c r="A436" t="s">
        <v>2969</v>
      </c>
      <c r="B436">
        <v>3106</v>
      </c>
    </row>
    <row r="437" spans="1:2" x14ac:dyDescent="0.25">
      <c r="A437" t="s">
        <v>2970</v>
      </c>
      <c r="B437">
        <v>3111</v>
      </c>
    </row>
    <row r="438" spans="1:2" x14ac:dyDescent="0.25">
      <c r="A438" t="s">
        <v>2971</v>
      </c>
      <c r="B438">
        <v>3301</v>
      </c>
    </row>
    <row r="439" spans="1:2" x14ac:dyDescent="0.25">
      <c r="A439" t="s">
        <v>2972</v>
      </c>
      <c r="B439">
        <v>3306</v>
      </c>
    </row>
    <row r="440" spans="1:2" x14ac:dyDescent="0.25">
      <c r="A440" t="s">
        <v>2973</v>
      </c>
      <c r="B440">
        <v>3314</v>
      </c>
    </row>
    <row r="441" spans="1:2" x14ac:dyDescent="0.25">
      <c r="A441" t="s">
        <v>2974</v>
      </c>
      <c r="B441">
        <v>3359</v>
      </c>
    </row>
    <row r="442" spans="1:2" x14ac:dyDescent="0.25">
      <c r="A442" t="s">
        <v>2975</v>
      </c>
      <c r="B442">
        <v>3378</v>
      </c>
    </row>
    <row r="443" spans="1:2" x14ac:dyDescent="0.25">
      <c r="A443" t="s">
        <v>2976</v>
      </c>
      <c r="B443">
        <v>3401</v>
      </c>
    </row>
    <row r="444" spans="1:2" x14ac:dyDescent="0.25">
      <c r="A444" t="s">
        <v>2977</v>
      </c>
      <c r="B444">
        <v>3414</v>
      </c>
    </row>
    <row r="445" spans="1:2" x14ac:dyDescent="0.25">
      <c r="A445" t="s">
        <v>2978</v>
      </c>
      <c r="B445">
        <v>3416</v>
      </c>
    </row>
    <row r="446" spans="1:2" x14ac:dyDescent="0.25">
      <c r="A446" t="s">
        <v>2979</v>
      </c>
      <c r="B446">
        <v>3428</v>
      </c>
    </row>
    <row r="447" spans="1:2" x14ac:dyDescent="0.25">
      <c r="A447" t="s">
        <v>2980</v>
      </c>
      <c r="B447">
        <v>3501</v>
      </c>
    </row>
    <row r="448" spans="1:2" x14ac:dyDescent="0.25">
      <c r="A448" t="s">
        <v>2981</v>
      </c>
      <c r="B448">
        <v>3502</v>
      </c>
    </row>
    <row r="449" spans="1:2" x14ac:dyDescent="0.25">
      <c r="A449" t="s">
        <v>2982</v>
      </c>
      <c r="B449">
        <v>3511</v>
      </c>
    </row>
    <row r="450" spans="1:2" x14ac:dyDescent="0.25">
      <c r="A450" t="s">
        <v>2983</v>
      </c>
      <c r="B450">
        <v>3513</v>
      </c>
    </row>
    <row r="451" spans="1:2" x14ac:dyDescent="0.25">
      <c r="A451" t="s">
        <v>2984</v>
      </c>
      <c r="B451">
        <v>3515</v>
      </c>
    </row>
    <row r="452" spans="1:2" x14ac:dyDescent="0.25">
      <c r="A452" t="s">
        <v>2985</v>
      </c>
      <c r="B452">
        <v>3546</v>
      </c>
    </row>
    <row r="453" spans="1:2" x14ac:dyDescent="0.25">
      <c r="A453" t="s">
        <v>2986</v>
      </c>
      <c r="B453">
        <v>3566</v>
      </c>
    </row>
    <row r="454" spans="1:2" x14ac:dyDescent="0.25">
      <c r="A454" t="s">
        <v>2987</v>
      </c>
      <c r="B454">
        <v>3601</v>
      </c>
    </row>
    <row r="455" spans="1:2" x14ac:dyDescent="0.25">
      <c r="A455" t="s">
        <v>2988</v>
      </c>
      <c r="B455">
        <v>3602</v>
      </c>
    </row>
    <row r="456" spans="1:2" x14ac:dyDescent="0.25">
      <c r="A456" t="s">
        <v>2989</v>
      </c>
      <c r="B456">
        <v>3603</v>
      </c>
    </row>
    <row r="457" spans="1:2" x14ac:dyDescent="0.25">
      <c r="A457" t="s">
        <v>2990</v>
      </c>
      <c r="B457">
        <v>3604</v>
      </c>
    </row>
    <row r="458" spans="1:2" x14ac:dyDescent="0.25">
      <c r="A458" t="s">
        <v>2991</v>
      </c>
      <c r="B458">
        <v>3605</v>
      </c>
    </row>
    <row r="459" spans="1:2" x14ac:dyDescent="0.25">
      <c r="A459" t="s">
        <v>2992</v>
      </c>
      <c r="B459">
        <v>3606</v>
      </c>
    </row>
    <row r="460" spans="1:2" x14ac:dyDescent="0.25">
      <c r="A460" t="s">
        <v>2993</v>
      </c>
      <c r="B460">
        <v>3610</v>
      </c>
    </row>
    <row r="461" spans="1:2" x14ac:dyDescent="0.25">
      <c r="A461" t="s">
        <v>2994</v>
      </c>
      <c r="B461">
        <v>3701</v>
      </c>
    </row>
    <row r="462" spans="1:2" x14ac:dyDescent="0.25">
      <c r="A462" t="s">
        <v>2995</v>
      </c>
      <c r="B462">
        <v>3703</v>
      </c>
    </row>
    <row r="463" spans="1:2" x14ac:dyDescent="0.25">
      <c r="A463" t="s">
        <v>2996</v>
      </c>
      <c r="B463">
        <v>3705</v>
      </c>
    </row>
    <row r="464" spans="1:2" x14ac:dyDescent="0.25">
      <c r="A464" t="s">
        <v>2997</v>
      </c>
      <c r="B464">
        <v>3707</v>
      </c>
    </row>
    <row r="465" spans="1:2" x14ac:dyDescent="0.25">
      <c r="A465" t="s">
        <v>2998</v>
      </c>
      <c r="B465">
        <v>3711</v>
      </c>
    </row>
    <row r="466" spans="1:2" x14ac:dyDescent="0.25">
      <c r="A466" t="s">
        <v>2999</v>
      </c>
      <c r="B466">
        <v>3712</v>
      </c>
    </row>
    <row r="467" spans="1:2" x14ac:dyDescent="0.25">
      <c r="A467" t="s">
        <v>3000</v>
      </c>
      <c r="B467">
        <v>3725</v>
      </c>
    </row>
    <row r="468" spans="1:2" x14ac:dyDescent="0.25">
      <c r="A468" t="s">
        <v>3001</v>
      </c>
      <c r="B468">
        <v>3727</v>
      </c>
    </row>
    <row r="469" spans="1:2" x14ac:dyDescent="0.25">
      <c r="A469" t="s">
        <v>3002</v>
      </c>
      <c r="B469">
        <v>3769</v>
      </c>
    </row>
    <row r="470" spans="1:2" x14ac:dyDescent="0.25">
      <c r="A470" t="s">
        <v>3003</v>
      </c>
      <c r="B470">
        <v>3801</v>
      </c>
    </row>
    <row r="471" spans="1:2" x14ac:dyDescent="0.25">
      <c r="A471" t="s">
        <v>3004</v>
      </c>
      <c r="B471">
        <v>3802</v>
      </c>
    </row>
    <row r="472" spans="1:2" x14ac:dyDescent="0.25">
      <c r="A472" t="s">
        <v>3005</v>
      </c>
      <c r="B472">
        <v>3806</v>
      </c>
    </row>
    <row r="473" spans="1:2" x14ac:dyDescent="0.25">
      <c r="A473" t="s">
        <v>3006</v>
      </c>
      <c r="B473">
        <v>3808</v>
      </c>
    </row>
    <row r="474" spans="1:2" x14ac:dyDescent="0.25">
      <c r="A474" t="s">
        <v>3007</v>
      </c>
      <c r="B474">
        <v>3809</v>
      </c>
    </row>
    <row r="475" spans="1:2" x14ac:dyDescent="0.25">
      <c r="A475" t="s">
        <v>3008</v>
      </c>
      <c r="B475">
        <v>3820</v>
      </c>
    </row>
    <row r="476" spans="1:2" x14ac:dyDescent="0.25">
      <c r="A476" t="s">
        <v>3009</v>
      </c>
      <c r="B476">
        <v>3858</v>
      </c>
    </row>
    <row r="477" spans="1:2" x14ac:dyDescent="0.25">
      <c r="A477" t="s">
        <v>3010</v>
      </c>
      <c r="B477">
        <v>3869</v>
      </c>
    </row>
    <row r="478" spans="1:2" x14ac:dyDescent="0.25">
      <c r="A478" t="s">
        <v>3011</v>
      </c>
      <c r="B478">
        <v>3872</v>
      </c>
    </row>
    <row r="479" spans="1:2" x14ac:dyDescent="0.25">
      <c r="A479" t="s">
        <v>3012</v>
      </c>
      <c r="B479">
        <v>3901</v>
      </c>
    </row>
    <row r="480" spans="1:2" x14ac:dyDescent="0.25">
      <c r="A480" t="s">
        <v>3013</v>
      </c>
      <c r="B480">
        <v>3910</v>
      </c>
    </row>
    <row r="481" spans="1:2" x14ac:dyDescent="0.25">
      <c r="A481" t="s">
        <v>3014</v>
      </c>
      <c r="B481">
        <v>3940</v>
      </c>
    </row>
    <row r="482" spans="1:2" x14ac:dyDescent="0.25">
      <c r="A482" t="s">
        <v>3015</v>
      </c>
      <c r="B482">
        <v>4001</v>
      </c>
    </row>
    <row r="483" spans="1:2" x14ac:dyDescent="0.25">
      <c r="A483" t="s">
        <v>3016</v>
      </c>
      <c r="B483">
        <v>4010</v>
      </c>
    </row>
    <row r="484" spans="1:2" x14ac:dyDescent="0.25">
      <c r="A484" t="s">
        <v>3017</v>
      </c>
      <c r="B484">
        <v>4101</v>
      </c>
    </row>
    <row r="485" spans="1:2" x14ac:dyDescent="0.25">
      <c r="A485" t="s">
        <v>3018</v>
      </c>
      <c r="B485">
        <v>4102</v>
      </c>
    </row>
    <row r="486" spans="1:2" x14ac:dyDescent="0.25">
      <c r="A486" t="s">
        <v>3019</v>
      </c>
      <c r="B486">
        <v>4104</v>
      </c>
    </row>
    <row r="487" spans="1:2" x14ac:dyDescent="0.25">
      <c r="A487" t="s">
        <v>3020</v>
      </c>
      <c r="B487">
        <v>4201</v>
      </c>
    </row>
    <row r="488" spans="1:2" x14ac:dyDescent="0.25">
      <c r="A488" t="s">
        <v>3021</v>
      </c>
      <c r="B488">
        <v>4204</v>
      </c>
    </row>
    <row r="489" spans="1:2" x14ac:dyDescent="0.25">
      <c r="A489" t="s">
        <v>3022</v>
      </c>
      <c r="B489">
        <v>4206</v>
      </c>
    </row>
    <row r="490" spans="1:2" x14ac:dyDescent="0.25">
      <c r="A490" t="s">
        <v>3023</v>
      </c>
      <c r="B490">
        <v>4255</v>
      </c>
    </row>
    <row r="491" spans="1:2" x14ac:dyDescent="0.25">
      <c r="A491" t="s">
        <v>3024</v>
      </c>
      <c r="B491">
        <v>4301</v>
      </c>
    </row>
    <row r="492" spans="1:2" x14ac:dyDescent="0.25">
      <c r="A492" t="s">
        <v>3025</v>
      </c>
      <c r="B492">
        <v>4352</v>
      </c>
    </row>
    <row r="493" spans="1:2" x14ac:dyDescent="0.25">
      <c r="A493" t="s">
        <v>3026</v>
      </c>
      <c r="B493">
        <v>4361</v>
      </c>
    </row>
    <row r="494" spans="1:2" x14ac:dyDescent="0.25">
      <c r="A494" t="s">
        <v>3027</v>
      </c>
      <c r="B494">
        <v>4373</v>
      </c>
    </row>
    <row r="495" spans="1:2" x14ac:dyDescent="0.25">
      <c r="A495" t="s">
        <v>3028</v>
      </c>
      <c r="B495">
        <v>4401</v>
      </c>
    </row>
    <row r="496" spans="1:2" x14ac:dyDescent="0.25">
      <c r="A496" t="s">
        <v>3029</v>
      </c>
      <c r="B496">
        <v>4402</v>
      </c>
    </row>
    <row r="497" spans="1:2" x14ac:dyDescent="0.25">
      <c r="A497" t="s">
        <v>3030</v>
      </c>
      <c r="B497">
        <v>4403</v>
      </c>
    </row>
    <row r="498" spans="1:2" x14ac:dyDescent="0.25">
      <c r="A498" t="s">
        <v>3031</v>
      </c>
      <c r="B498">
        <v>4406</v>
      </c>
    </row>
    <row r="499" spans="1:2" x14ac:dyDescent="0.25">
      <c r="A499" t="s">
        <v>3032</v>
      </c>
      <c r="B499">
        <v>4413</v>
      </c>
    </row>
    <row r="500" spans="1:2" x14ac:dyDescent="0.25">
      <c r="A500" t="s">
        <v>3033</v>
      </c>
      <c r="B500">
        <v>4414</v>
      </c>
    </row>
    <row r="501" spans="1:2" x14ac:dyDescent="0.25">
      <c r="A501" t="s">
        <v>3034</v>
      </c>
      <c r="B501">
        <v>4416</v>
      </c>
    </row>
    <row r="502" spans="1:2" x14ac:dyDescent="0.25">
      <c r="A502" t="s">
        <v>3035</v>
      </c>
      <c r="B502">
        <v>4417</v>
      </c>
    </row>
    <row r="503" spans="1:2" x14ac:dyDescent="0.25">
      <c r="A503" t="s">
        <v>3036</v>
      </c>
      <c r="B503">
        <v>4441</v>
      </c>
    </row>
    <row r="504" spans="1:2" x14ac:dyDescent="0.25">
      <c r="A504" t="s">
        <v>3037</v>
      </c>
      <c r="B504">
        <v>4449</v>
      </c>
    </row>
    <row r="505" spans="1:2" x14ac:dyDescent="0.25">
      <c r="A505" t="s">
        <v>3038</v>
      </c>
      <c r="B505">
        <v>4454</v>
      </c>
    </row>
    <row r="506" spans="1:2" x14ac:dyDescent="0.25">
      <c r="A506" t="s">
        <v>3039</v>
      </c>
      <c r="B506">
        <v>4601</v>
      </c>
    </row>
    <row r="507" spans="1:2" x14ac:dyDescent="0.25">
      <c r="A507" t="s">
        <v>3040</v>
      </c>
      <c r="B507">
        <v>4602</v>
      </c>
    </row>
    <row r="508" spans="1:2" x14ac:dyDescent="0.25">
      <c r="A508" t="s">
        <v>3041</v>
      </c>
      <c r="B508">
        <v>4604</v>
      </c>
    </row>
    <row r="509" spans="1:2" x14ac:dyDescent="0.25">
      <c r="A509" t="s">
        <v>3042</v>
      </c>
      <c r="B509">
        <v>4605</v>
      </c>
    </row>
    <row r="510" spans="1:2" x14ac:dyDescent="0.25">
      <c r="A510" t="s">
        <v>3043</v>
      </c>
      <c r="B510">
        <v>4607</v>
      </c>
    </row>
    <row r="511" spans="1:2" x14ac:dyDescent="0.25">
      <c r="A511" t="s">
        <v>3044</v>
      </c>
      <c r="B511">
        <v>4616</v>
      </c>
    </row>
    <row r="512" spans="1:2" x14ac:dyDescent="0.25">
      <c r="A512" t="s">
        <v>3045</v>
      </c>
      <c r="B512">
        <v>4701</v>
      </c>
    </row>
    <row r="513" spans="1:2" x14ac:dyDescent="0.25">
      <c r="A513" t="s">
        <v>3046</v>
      </c>
      <c r="B513">
        <v>4714</v>
      </c>
    </row>
    <row r="514" spans="1:2" x14ac:dyDescent="0.25">
      <c r="A514" t="s">
        <v>3047</v>
      </c>
      <c r="B514">
        <v>4715</v>
      </c>
    </row>
    <row r="515" spans="1:2" x14ac:dyDescent="0.25">
      <c r="A515" t="s">
        <v>3048</v>
      </c>
      <c r="B515">
        <v>4717</v>
      </c>
    </row>
    <row r="516" spans="1:2" x14ac:dyDescent="0.25">
      <c r="A516" t="s">
        <v>3049</v>
      </c>
      <c r="B516">
        <v>4737</v>
      </c>
    </row>
    <row r="517" spans="1:2" x14ac:dyDescent="0.25">
      <c r="A517" t="s">
        <v>3050</v>
      </c>
      <c r="B517">
        <v>4741</v>
      </c>
    </row>
    <row r="518" spans="1:2" x14ac:dyDescent="0.25">
      <c r="A518" t="s">
        <v>3051</v>
      </c>
      <c r="B518">
        <v>4742</v>
      </c>
    </row>
    <row r="519" spans="1:2" x14ac:dyDescent="0.25">
      <c r="A519" t="s">
        <v>3052</v>
      </c>
      <c r="B519">
        <v>4745</v>
      </c>
    </row>
    <row r="520" spans="1:2" x14ac:dyDescent="0.25">
      <c r="A520" t="s">
        <v>3053</v>
      </c>
      <c r="B520">
        <v>4749</v>
      </c>
    </row>
    <row r="521" spans="1:2" x14ac:dyDescent="0.25">
      <c r="A521" t="s">
        <v>3054</v>
      </c>
      <c r="B521">
        <v>4754</v>
      </c>
    </row>
    <row r="522" spans="1:2" x14ac:dyDescent="0.25">
      <c r="A522" t="s">
        <v>3055</v>
      </c>
      <c r="B522">
        <v>4801</v>
      </c>
    </row>
    <row r="523" spans="1:2" x14ac:dyDescent="0.25">
      <c r="A523" t="s">
        <v>3056</v>
      </c>
      <c r="B523">
        <v>4804</v>
      </c>
    </row>
    <row r="524" spans="1:2" x14ac:dyDescent="0.25">
      <c r="A524" t="s">
        <v>3057</v>
      </c>
      <c r="B524">
        <v>4805</v>
      </c>
    </row>
    <row r="525" spans="1:2" x14ac:dyDescent="0.25">
      <c r="A525" t="s">
        <v>3058</v>
      </c>
      <c r="B525">
        <v>4807</v>
      </c>
    </row>
    <row r="526" spans="1:2" x14ac:dyDescent="0.25">
      <c r="A526" t="s">
        <v>3059</v>
      </c>
      <c r="B526">
        <v>4816</v>
      </c>
    </row>
    <row r="527" spans="1:2" x14ac:dyDescent="0.25">
      <c r="A527" t="s">
        <v>3060</v>
      </c>
      <c r="B527">
        <v>4818</v>
      </c>
    </row>
    <row r="528" spans="1:2" x14ac:dyDescent="0.25">
      <c r="A528" t="s">
        <v>3061</v>
      </c>
      <c r="B528">
        <v>4819</v>
      </c>
    </row>
    <row r="529" spans="1:2" x14ac:dyDescent="0.25">
      <c r="A529" t="s">
        <v>3062</v>
      </c>
      <c r="B529">
        <v>4820</v>
      </c>
    </row>
    <row r="530" spans="1:2" x14ac:dyDescent="0.25">
      <c r="A530" t="s">
        <v>3063</v>
      </c>
      <c r="B530">
        <v>4840</v>
      </c>
    </row>
    <row r="531" spans="1:2" x14ac:dyDescent="0.25">
      <c r="A531" t="s">
        <v>3064</v>
      </c>
      <c r="B531">
        <v>4850</v>
      </c>
    </row>
    <row r="532" spans="1:2" x14ac:dyDescent="0.25">
      <c r="A532" t="s">
        <v>3065</v>
      </c>
      <c r="B532">
        <v>4855</v>
      </c>
    </row>
    <row r="533" spans="1:2" x14ac:dyDescent="0.25">
      <c r="A533" t="s">
        <v>3066</v>
      </c>
      <c r="B533">
        <v>5001</v>
      </c>
    </row>
    <row r="534" spans="1:2" x14ac:dyDescent="0.25">
      <c r="A534" t="s">
        <v>3067</v>
      </c>
      <c r="B534">
        <v>5002</v>
      </c>
    </row>
    <row r="535" spans="1:2" x14ac:dyDescent="0.25">
      <c r="A535" t="s">
        <v>3068</v>
      </c>
      <c r="B535">
        <v>5003</v>
      </c>
    </row>
    <row r="536" spans="1:2" x14ac:dyDescent="0.25">
      <c r="A536" t="s">
        <v>3069</v>
      </c>
      <c r="B536">
        <v>5026</v>
      </c>
    </row>
    <row r="537" spans="1:2" x14ac:dyDescent="0.25">
      <c r="A537" t="s">
        <v>3070</v>
      </c>
      <c r="B537">
        <v>5031</v>
      </c>
    </row>
    <row r="538" spans="1:2" x14ac:dyDescent="0.25">
      <c r="A538" t="s">
        <v>3071</v>
      </c>
      <c r="B538">
        <v>5042</v>
      </c>
    </row>
    <row r="539" spans="1:2" x14ac:dyDescent="0.25">
      <c r="A539" t="s">
        <v>3072</v>
      </c>
      <c r="B539">
        <v>5048</v>
      </c>
    </row>
    <row r="540" spans="1:2" x14ac:dyDescent="0.25">
      <c r="A540" t="s">
        <v>3073</v>
      </c>
      <c r="B540">
        <v>5201</v>
      </c>
    </row>
    <row r="541" spans="1:2" x14ac:dyDescent="0.25">
      <c r="A541" t="s">
        <v>3074</v>
      </c>
      <c r="B541">
        <v>5205</v>
      </c>
    </row>
    <row r="542" spans="1:2" x14ac:dyDescent="0.25">
      <c r="A542" t="s">
        <v>3075</v>
      </c>
      <c r="B542">
        <v>5210</v>
      </c>
    </row>
    <row r="543" spans="1:2" x14ac:dyDescent="0.25">
      <c r="A543" t="s">
        <v>3076</v>
      </c>
      <c r="B543">
        <v>5220</v>
      </c>
    </row>
    <row r="544" spans="1:2" x14ac:dyDescent="0.25">
      <c r="A544" t="s">
        <v>3077</v>
      </c>
      <c r="B544">
        <v>5221</v>
      </c>
    </row>
    <row r="545" spans="1:2" x14ac:dyDescent="0.25">
      <c r="A545" t="s">
        <v>3078</v>
      </c>
      <c r="B545">
        <v>5301</v>
      </c>
    </row>
    <row r="546" spans="1:2" x14ac:dyDescent="0.25">
      <c r="A546" t="s">
        <v>3079</v>
      </c>
      <c r="B546">
        <v>5306</v>
      </c>
    </row>
    <row r="547" spans="1:2" x14ac:dyDescent="0.25">
      <c r="A547" t="s">
        <v>3080</v>
      </c>
      <c r="B547">
        <v>5309</v>
      </c>
    </row>
    <row r="548" spans="1:2" x14ac:dyDescent="0.25">
      <c r="A548" t="s">
        <v>3081</v>
      </c>
      <c r="B548">
        <v>5310</v>
      </c>
    </row>
    <row r="549" spans="1:2" x14ac:dyDescent="0.25">
      <c r="A549" t="s">
        <v>3082</v>
      </c>
      <c r="B549">
        <v>5313</v>
      </c>
    </row>
    <row r="550" spans="1:2" x14ac:dyDescent="0.25">
      <c r="A550" t="s">
        <v>3083</v>
      </c>
      <c r="B550">
        <v>5317</v>
      </c>
    </row>
    <row r="551" spans="1:2" x14ac:dyDescent="0.25">
      <c r="A551" t="s">
        <v>3084</v>
      </c>
      <c r="B551">
        <v>5318</v>
      </c>
    </row>
    <row r="552" spans="1:2" x14ac:dyDescent="0.25">
      <c r="A552" t="s">
        <v>3085</v>
      </c>
      <c r="B552">
        <v>5323</v>
      </c>
    </row>
    <row r="553" spans="1:2" x14ac:dyDescent="0.25">
      <c r="A553" t="s">
        <v>3086</v>
      </c>
      <c r="B553">
        <v>5334</v>
      </c>
    </row>
    <row r="554" spans="1:2" x14ac:dyDescent="0.25">
      <c r="A554" t="s">
        <v>3087</v>
      </c>
      <c r="B554">
        <v>5350</v>
      </c>
    </row>
    <row r="555" spans="1:2" x14ac:dyDescent="0.25">
      <c r="A555" t="s">
        <v>3088</v>
      </c>
      <c r="B555">
        <v>5352</v>
      </c>
    </row>
    <row r="556" spans="1:2" x14ac:dyDescent="0.25">
      <c r="A556" t="s">
        <v>3089</v>
      </c>
      <c r="B556">
        <v>5378</v>
      </c>
    </row>
    <row r="557" spans="1:2" x14ac:dyDescent="0.25">
      <c r="A557" t="s">
        <v>3090</v>
      </c>
      <c r="B557">
        <v>5401</v>
      </c>
    </row>
    <row r="558" spans="1:2" x14ac:dyDescent="0.25">
      <c r="A558" t="s">
        <v>3091</v>
      </c>
      <c r="B558">
        <v>5402</v>
      </c>
    </row>
    <row r="559" spans="1:2" x14ac:dyDescent="0.25">
      <c r="A559" t="s">
        <v>3092</v>
      </c>
      <c r="B559">
        <v>5406</v>
      </c>
    </row>
    <row r="560" spans="1:2" x14ac:dyDescent="0.25">
      <c r="A560" t="s">
        <v>3093</v>
      </c>
      <c r="B560">
        <v>5407</v>
      </c>
    </row>
    <row r="561" spans="1:2" x14ac:dyDescent="0.25">
      <c r="A561" t="s">
        <v>3094</v>
      </c>
      <c r="B561">
        <v>5408</v>
      </c>
    </row>
    <row r="562" spans="1:2" x14ac:dyDescent="0.25">
      <c r="A562" t="s">
        <v>3095</v>
      </c>
      <c r="B562">
        <v>5409</v>
      </c>
    </row>
    <row r="563" spans="1:2" x14ac:dyDescent="0.25">
      <c r="A563" t="s">
        <v>3096</v>
      </c>
      <c r="B563">
        <v>5413</v>
      </c>
    </row>
    <row r="564" spans="1:2" x14ac:dyDescent="0.25">
      <c r="A564" t="s">
        <v>3097</v>
      </c>
      <c r="B564">
        <v>5415</v>
      </c>
    </row>
    <row r="565" spans="1:2" x14ac:dyDescent="0.25">
      <c r="A565" t="s">
        <v>3098</v>
      </c>
      <c r="B565">
        <v>5419</v>
      </c>
    </row>
    <row r="566" spans="1:2" x14ac:dyDescent="0.25">
      <c r="A566" t="s">
        <v>3099</v>
      </c>
      <c r="B566">
        <v>5423</v>
      </c>
    </row>
    <row r="567" spans="1:2" x14ac:dyDescent="0.25">
      <c r="A567" t="s">
        <v>3100</v>
      </c>
      <c r="B567">
        <v>5426</v>
      </c>
    </row>
    <row r="568" spans="1:2" x14ac:dyDescent="0.25">
      <c r="A568" t="s">
        <v>3101</v>
      </c>
      <c r="B568">
        <v>5427</v>
      </c>
    </row>
    <row r="569" spans="1:2" x14ac:dyDescent="0.25">
      <c r="A569" t="s">
        <v>3102</v>
      </c>
      <c r="B569">
        <v>5438</v>
      </c>
    </row>
    <row r="570" spans="1:2" x14ac:dyDescent="0.25">
      <c r="A570" t="s">
        <v>3103</v>
      </c>
      <c r="B570">
        <v>5439</v>
      </c>
    </row>
    <row r="571" spans="1:2" x14ac:dyDescent="0.25">
      <c r="A571" t="s">
        <v>3104</v>
      </c>
      <c r="B571">
        <v>5440</v>
      </c>
    </row>
    <row r="572" spans="1:2" x14ac:dyDescent="0.25">
      <c r="A572" t="s">
        <v>3105</v>
      </c>
      <c r="B572">
        <v>5701</v>
      </c>
    </row>
    <row r="573" spans="1:2" x14ac:dyDescent="0.25">
      <c r="A573" t="s">
        <v>3106</v>
      </c>
      <c r="B573">
        <v>5703</v>
      </c>
    </row>
    <row r="574" spans="1:2" x14ac:dyDescent="0.25">
      <c r="A574" t="s">
        <v>3107</v>
      </c>
      <c r="B574">
        <v>5704</v>
      </c>
    </row>
    <row r="575" spans="1:2" x14ac:dyDescent="0.25">
      <c r="A575" t="s">
        <v>3108</v>
      </c>
      <c r="B575">
        <v>5705</v>
      </c>
    </row>
    <row r="576" spans="1:2" x14ac:dyDescent="0.25">
      <c r="A576" t="s">
        <v>3109</v>
      </c>
      <c r="B576">
        <v>5716</v>
      </c>
    </row>
    <row r="577" spans="1:2" x14ac:dyDescent="0.25">
      <c r="A577" t="s">
        <v>3110</v>
      </c>
      <c r="B577">
        <v>5725</v>
      </c>
    </row>
    <row r="578" spans="1:2" x14ac:dyDescent="0.25">
      <c r="A578" t="s">
        <v>3111</v>
      </c>
      <c r="B578">
        <v>5729</v>
      </c>
    </row>
    <row r="579" spans="1:2" x14ac:dyDescent="0.25">
      <c r="A579" t="s">
        <v>3112</v>
      </c>
      <c r="B579">
        <v>5736</v>
      </c>
    </row>
    <row r="580" spans="1:2" x14ac:dyDescent="0.25">
      <c r="A580" t="s">
        <v>3113</v>
      </c>
      <c r="B580">
        <v>5737</v>
      </c>
    </row>
    <row r="581" spans="1:2" x14ac:dyDescent="0.25">
      <c r="A581" t="s">
        <v>3114</v>
      </c>
      <c r="B581">
        <v>5738</v>
      </c>
    </row>
    <row r="582" spans="1:2" x14ac:dyDescent="0.25">
      <c r="A582" t="s">
        <v>3115</v>
      </c>
      <c r="B582">
        <v>5767</v>
      </c>
    </row>
    <row r="583" spans="1:2" x14ac:dyDescent="0.25">
      <c r="A583" t="s">
        <v>3116</v>
      </c>
      <c r="B583">
        <v>5782</v>
      </c>
    </row>
    <row r="584" spans="1:2" x14ac:dyDescent="0.25">
      <c r="A584" t="s">
        <v>3117</v>
      </c>
      <c r="B584">
        <v>5784</v>
      </c>
    </row>
    <row r="585" spans="1:2" x14ac:dyDescent="0.25">
      <c r="A585" t="s">
        <v>3118</v>
      </c>
      <c r="B585">
        <v>5786</v>
      </c>
    </row>
    <row r="586" spans="1:2" x14ac:dyDescent="0.25">
      <c r="A586" t="s">
        <v>3119</v>
      </c>
      <c r="B586">
        <v>5788</v>
      </c>
    </row>
    <row r="587" spans="1:2" x14ac:dyDescent="0.25">
      <c r="A587" t="s">
        <v>3120</v>
      </c>
      <c r="B587">
        <v>5801</v>
      </c>
    </row>
    <row r="588" spans="1:2" x14ac:dyDescent="0.25">
      <c r="A588" t="s">
        <v>3121</v>
      </c>
      <c r="B588">
        <v>5803</v>
      </c>
    </row>
    <row r="589" spans="1:2" x14ac:dyDescent="0.25">
      <c r="A589" t="s">
        <v>3122</v>
      </c>
      <c r="B589">
        <v>5806</v>
      </c>
    </row>
    <row r="590" spans="1:2" x14ac:dyDescent="0.25">
      <c r="A590" t="s">
        <v>3123</v>
      </c>
      <c r="B590">
        <v>5823</v>
      </c>
    </row>
    <row r="591" spans="1:2" x14ac:dyDescent="0.25">
      <c r="A591" t="s">
        <v>3124</v>
      </c>
      <c r="B591">
        <v>5876</v>
      </c>
    </row>
    <row r="592" spans="1:2" x14ac:dyDescent="0.25">
      <c r="A592" t="s">
        <v>3125</v>
      </c>
      <c r="B592">
        <v>6501</v>
      </c>
    </row>
    <row r="593" spans="1:2" x14ac:dyDescent="0.25">
      <c r="A593" t="s">
        <v>3126</v>
      </c>
      <c r="B593">
        <v>6502</v>
      </c>
    </row>
    <row r="594" spans="1:2" x14ac:dyDescent="0.25">
      <c r="A594" t="s">
        <v>3127</v>
      </c>
      <c r="B594">
        <v>6505</v>
      </c>
    </row>
    <row r="595" spans="1:2" x14ac:dyDescent="0.25">
      <c r="A595" t="s">
        <v>3128</v>
      </c>
      <c r="B595">
        <v>6511</v>
      </c>
    </row>
    <row r="596" spans="1:2" x14ac:dyDescent="0.25">
      <c r="A596" t="s">
        <v>3129</v>
      </c>
      <c r="B596">
        <v>6517</v>
      </c>
    </row>
    <row r="597" spans="1:2" x14ac:dyDescent="0.25">
      <c r="A597" t="s">
        <v>3130</v>
      </c>
      <c r="B597">
        <v>6601</v>
      </c>
    </row>
    <row r="598" spans="1:2" x14ac:dyDescent="0.25">
      <c r="A598" t="s">
        <v>3131</v>
      </c>
      <c r="B598">
        <v>6605</v>
      </c>
    </row>
    <row r="599" spans="1:2" x14ac:dyDescent="0.25">
      <c r="A599" t="s">
        <v>3132</v>
      </c>
      <c r="B599">
        <v>6610</v>
      </c>
    </row>
    <row r="600" spans="1:2" x14ac:dyDescent="0.25">
      <c r="A600" t="s">
        <v>3133</v>
      </c>
      <c r="B600">
        <v>6641</v>
      </c>
    </row>
    <row r="601" spans="1:2" x14ac:dyDescent="0.25">
      <c r="A601" t="s">
        <v>3134</v>
      </c>
      <c r="B601">
        <v>6652</v>
      </c>
    </row>
    <row r="602" spans="1:2" x14ac:dyDescent="0.25">
      <c r="A602" t="s">
        <v>3135</v>
      </c>
      <c r="B602">
        <v>6656</v>
      </c>
    </row>
    <row r="603" spans="1:2" x14ac:dyDescent="0.25">
      <c r="A603" t="s">
        <v>3136</v>
      </c>
      <c r="B603">
        <v>6901</v>
      </c>
    </row>
    <row r="604" spans="1:2" x14ac:dyDescent="0.25">
      <c r="A604" t="s">
        <v>3137</v>
      </c>
      <c r="B604">
        <v>6904</v>
      </c>
    </row>
    <row r="605" spans="1:2" x14ac:dyDescent="0.25">
      <c r="A605" t="s">
        <v>3138</v>
      </c>
      <c r="B605">
        <v>6907</v>
      </c>
    </row>
    <row r="606" spans="1:2" x14ac:dyDescent="0.25">
      <c r="A606" t="s">
        <v>3139</v>
      </c>
      <c r="B606">
        <v>6910</v>
      </c>
    </row>
    <row r="607" spans="1:2" x14ac:dyDescent="0.25">
      <c r="A607" t="s">
        <v>3140</v>
      </c>
      <c r="B607">
        <v>6912</v>
      </c>
    </row>
    <row r="608" spans="1:2" x14ac:dyDescent="0.25">
      <c r="A608" t="s">
        <v>3141</v>
      </c>
      <c r="B608">
        <v>6913</v>
      </c>
    </row>
    <row r="609" spans="1:2" x14ac:dyDescent="0.25">
      <c r="A609" t="s">
        <v>3142</v>
      </c>
      <c r="B609">
        <v>6914</v>
      </c>
    </row>
    <row r="610" spans="1:2" x14ac:dyDescent="0.25">
      <c r="A610" t="s">
        <v>3143</v>
      </c>
      <c r="B610">
        <v>6941</v>
      </c>
    </row>
    <row r="611" spans="1:2" x14ac:dyDescent="0.25">
      <c r="A611" t="s">
        <v>3144</v>
      </c>
      <c r="B611">
        <v>6968</v>
      </c>
    </row>
    <row r="612" spans="1:2" x14ac:dyDescent="0.25">
      <c r="A612" t="s">
        <v>3145</v>
      </c>
      <c r="B612">
        <v>7001</v>
      </c>
    </row>
    <row r="613" spans="1:2" x14ac:dyDescent="0.25">
      <c r="A613" t="s">
        <v>3146</v>
      </c>
      <c r="B613">
        <v>7002</v>
      </c>
    </row>
    <row r="614" spans="1:2" x14ac:dyDescent="0.25">
      <c r="A614" t="s">
        <v>3147</v>
      </c>
      <c r="B614">
        <v>7006</v>
      </c>
    </row>
    <row r="615" spans="1:2" x14ac:dyDescent="0.25">
      <c r="A615" t="s">
        <v>3148</v>
      </c>
      <c r="B615">
        <v>7009</v>
      </c>
    </row>
    <row r="616" spans="1:2" x14ac:dyDescent="0.25">
      <c r="A616" t="s">
        <v>3149</v>
      </c>
      <c r="B616">
        <v>7301</v>
      </c>
    </row>
    <row r="617" spans="1:2" x14ac:dyDescent="0.25">
      <c r="A617" t="s">
        <v>3150</v>
      </c>
      <c r="B617">
        <v>7304</v>
      </c>
    </row>
    <row r="618" spans="1:2" x14ac:dyDescent="0.25">
      <c r="A618" t="s">
        <v>3151</v>
      </c>
      <c r="B618">
        <v>7305</v>
      </c>
    </row>
    <row r="619" spans="1:2" x14ac:dyDescent="0.25">
      <c r="A619" t="s">
        <v>3152</v>
      </c>
      <c r="B619">
        <v>7401</v>
      </c>
    </row>
    <row r="620" spans="1:2" x14ac:dyDescent="0.25">
      <c r="A620" t="s">
        <v>3153</v>
      </c>
      <c r="B620">
        <v>7402</v>
      </c>
    </row>
    <row r="621" spans="1:2" x14ac:dyDescent="0.25">
      <c r="A621" t="s">
        <v>3154</v>
      </c>
      <c r="B621">
        <v>7404</v>
      </c>
    </row>
    <row r="622" spans="1:2" x14ac:dyDescent="0.25">
      <c r="A622" t="s">
        <v>3155</v>
      </c>
      <c r="B622">
        <v>7405</v>
      </c>
    </row>
    <row r="623" spans="1:2" x14ac:dyDescent="0.25">
      <c r="A623" t="s">
        <v>3156</v>
      </c>
      <c r="B623">
        <v>7407</v>
      </c>
    </row>
    <row r="624" spans="1:2" x14ac:dyDescent="0.25">
      <c r="A624" t="s">
        <v>3157</v>
      </c>
      <c r="B624">
        <v>7408</v>
      </c>
    </row>
    <row r="625" spans="1:2" x14ac:dyDescent="0.25">
      <c r="A625" t="s">
        <v>3158</v>
      </c>
      <c r="B625">
        <v>7420</v>
      </c>
    </row>
    <row r="626" spans="1:2" x14ac:dyDescent="0.25">
      <c r="A626" t="s">
        <v>3159</v>
      </c>
      <c r="B626">
        <v>7601</v>
      </c>
    </row>
    <row r="627" spans="1:2" x14ac:dyDescent="0.25">
      <c r="A627" t="s">
        <v>3160</v>
      </c>
      <c r="B627">
        <v>7603</v>
      </c>
    </row>
    <row r="628" spans="1:2" x14ac:dyDescent="0.25">
      <c r="A628" t="s">
        <v>3161</v>
      </c>
      <c r="B628">
        <v>8201</v>
      </c>
    </row>
    <row r="629" spans="1:2" x14ac:dyDescent="0.25">
      <c r="A629" t="s">
        <v>3162</v>
      </c>
      <c r="B629">
        <v>8255</v>
      </c>
    </row>
    <row r="630" spans="1:2" x14ac:dyDescent="0.25">
      <c r="A630" t="s">
        <v>3163</v>
      </c>
      <c r="B630">
        <v>8268</v>
      </c>
    </row>
    <row r="631" spans="1:2" x14ac:dyDescent="0.25">
      <c r="A631" t="s">
        <v>3164</v>
      </c>
      <c r="B631">
        <v>8601</v>
      </c>
    </row>
    <row r="632" spans="1:2" x14ac:dyDescent="0.25">
      <c r="A632" t="s">
        <v>3165</v>
      </c>
      <c r="B632">
        <v>8602</v>
      </c>
    </row>
    <row r="633" spans="1:2" x14ac:dyDescent="0.25">
      <c r="A633" t="s">
        <v>3166</v>
      </c>
      <c r="B633">
        <v>8610</v>
      </c>
    </row>
    <row r="634" spans="1:2" x14ac:dyDescent="0.25">
      <c r="A634" t="s">
        <v>3167</v>
      </c>
      <c r="B634">
        <v>8801</v>
      </c>
    </row>
    <row r="635" spans="1:2" x14ac:dyDescent="0.25">
      <c r="A635" t="s">
        <v>3168</v>
      </c>
      <c r="B635">
        <v>8810</v>
      </c>
    </row>
    <row r="636" spans="1:2" x14ac:dyDescent="0.25">
      <c r="A636" t="s">
        <v>3169</v>
      </c>
      <c r="B636">
        <v>8840</v>
      </c>
    </row>
    <row r="637" spans="1:2" x14ac:dyDescent="0.25">
      <c r="A637" t="s">
        <v>3170</v>
      </c>
      <c r="B637">
        <v>8852</v>
      </c>
    </row>
    <row r="638" spans="1:2" x14ac:dyDescent="0.25">
      <c r="A638" t="s">
        <v>3171</v>
      </c>
      <c r="B638">
        <v>8862</v>
      </c>
    </row>
    <row r="639" spans="1:2" x14ac:dyDescent="0.25">
      <c r="A639" t="s">
        <v>3172</v>
      </c>
      <c r="B639">
        <v>9001</v>
      </c>
    </row>
    <row r="640" spans="1:2" x14ac:dyDescent="0.25">
      <c r="A640" t="s">
        <v>3173</v>
      </c>
      <c r="B640">
        <v>9003</v>
      </c>
    </row>
    <row r="641" spans="1:2" x14ac:dyDescent="0.25">
      <c r="A641" t="s">
        <v>3174</v>
      </c>
      <c r="B641">
        <v>9004</v>
      </c>
    </row>
    <row r="642" spans="1:2" x14ac:dyDescent="0.25">
      <c r="A642" t="s">
        <v>3175</v>
      </c>
      <c r="B642">
        <v>9901</v>
      </c>
    </row>
    <row r="643" spans="1:2" x14ac:dyDescent="0.25">
      <c r="A643" t="s">
        <v>3176</v>
      </c>
      <c r="B643">
        <v>9902</v>
      </c>
    </row>
    <row r="644" spans="1:2" x14ac:dyDescent="0.25">
      <c r="A644" t="s">
        <v>3177</v>
      </c>
      <c r="B644">
        <v>9903</v>
      </c>
    </row>
    <row r="645" spans="1:2" x14ac:dyDescent="0.25">
      <c r="A645" t="s">
        <v>3178</v>
      </c>
      <c r="B645">
        <v>9904</v>
      </c>
    </row>
    <row r="646" spans="1:2" x14ac:dyDescent="0.25">
      <c r="A646" t="s">
        <v>3179</v>
      </c>
      <c r="B646">
        <v>9905</v>
      </c>
    </row>
    <row r="647" spans="1:2" x14ac:dyDescent="0.25">
      <c r="A647" t="s">
        <v>3180</v>
      </c>
      <c r="B647">
        <v>9906</v>
      </c>
    </row>
    <row r="648" spans="1:2" x14ac:dyDescent="0.25">
      <c r="A648" t="s">
        <v>3181</v>
      </c>
      <c r="B648">
        <v>9907</v>
      </c>
    </row>
    <row r="649" spans="1:2" x14ac:dyDescent="0.25">
      <c r="A649" t="s">
        <v>3182</v>
      </c>
      <c r="B649">
        <v>9908</v>
      </c>
    </row>
    <row r="650" spans="1:2" x14ac:dyDescent="0.25">
      <c r="A650" t="s">
        <v>3183</v>
      </c>
      <c r="B650">
        <v>9909</v>
      </c>
    </row>
    <row r="651" spans="1:2" x14ac:dyDescent="0.25">
      <c r="A651" t="s">
        <v>3184</v>
      </c>
      <c r="B651">
        <v>9910</v>
      </c>
    </row>
    <row r="652" spans="1:2" x14ac:dyDescent="0.25">
      <c r="A652" t="s">
        <v>3185</v>
      </c>
      <c r="B652">
        <v>9911</v>
      </c>
    </row>
    <row r="653" spans="1:2" x14ac:dyDescent="0.25">
      <c r="A653" t="s">
        <v>3186</v>
      </c>
      <c r="B653">
        <v>9912</v>
      </c>
    </row>
    <row r="654" spans="1:2" x14ac:dyDescent="0.25">
      <c r="A654" t="s">
        <v>3187</v>
      </c>
      <c r="B654">
        <v>9913</v>
      </c>
    </row>
    <row r="655" spans="1:2" x14ac:dyDescent="0.25">
      <c r="A655" t="s">
        <v>3188</v>
      </c>
      <c r="B655">
        <v>9914</v>
      </c>
    </row>
    <row r="656" spans="1:2" x14ac:dyDescent="0.25">
      <c r="A656" t="s">
        <v>3189</v>
      </c>
      <c r="B656">
        <v>9915</v>
      </c>
    </row>
    <row r="657" spans="1:2" x14ac:dyDescent="0.25">
      <c r="A657" t="s">
        <v>3190</v>
      </c>
      <c r="B657">
        <v>9916</v>
      </c>
    </row>
    <row r="658" spans="1:2" x14ac:dyDescent="0.25">
      <c r="A658" t="s">
        <v>3191</v>
      </c>
      <c r="B658">
        <v>9917</v>
      </c>
    </row>
    <row r="659" spans="1:2" x14ac:dyDescent="0.25">
      <c r="A659" t="s">
        <v>3192</v>
      </c>
      <c r="B659">
        <v>9918</v>
      </c>
    </row>
    <row r="660" spans="1:2" x14ac:dyDescent="0.25">
      <c r="A660" t="s">
        <v>3193</v>
      </c>
      <c r="B660">
        <v>9919</v>
      </c>
    </row>
    <row r="661" spans="1:2" x14ac:dyDescent="0.25">
      <c r="A661" t="s">
        <v>3194</v>
      </c>
      <c r="B661">
        <v>9920</v>
      </c>
    </row>
    <row r="662" spans="1:2" x14ac:dyDescent="0.25">
      <c r="A662" t="s">
        <v>3195</v>
      </c>
      <c r="B662">
        <v>9921</v>
      </c>
    </row>
    <row r="663" spans="1:2" x14ac:dyDescent="0.25">
      <c r="A663" t="s">
        <v>3196</v>
      </c>
      <c r="B663">
        <v>9922</v>
      </c>
    </row>
    <row r="664" spans="1:2" x14ac:dyDescent="0.25">
      <c r="A664" t="s">
        <v>3197</v>
      </c>
      <c r="B664">
        <v>9923</v>
      </c>
    </row>
    <row r="665" spans="1:2" x14ac:dyDescent="0.25">
      <c r="A665" t="s">
        <v>3198</v>
      </c>
      <c r="B665">
        <v>9924</v>
      </c>
    </row>
    <row r="666" spans="1:2" x14ac:dyDescent="0.25">
      <c r="A666" t="s">
        <v>3199</v>
      </c>
      <c r="B666">
        <v>9925</v>
      </c>
    </row>
    <row r="667" spans="1:2" x14ac:dyDescent="0.25">
      <c r="A667" t="s">
        <v>3200</v>
      </c>
      <c r="B667">
        <v>9926</v>
      </c>
    </row>
    <row r="668" spans="1:2" x14ac:dyDescent="0.25">
      <c r="A668" t="s">
        <v>3201</v>
      </c>
      <c r="B668">
        <v>9927</v>
      </c>
    </row>
    <row r="669" spans="1:2" x14ac:dyDescent="0.25">
      <c r="A669" t="s">
        <v>3202</v>
      </c>
      <c r="B669">
        <v>9928</v>
      </c>
    </row>
    <row r="670" spans="1:2" x14ac:dyDescent="0.25">
      <c r="A670" t="s">
        <v>3203</v>
      </c>
      <c r="B670">
        <v>9929</v>
      </c>
    </row>
    <row r="671" spans="1:2" x14ac:dyDescent="0.25">
      <c r="A671" t="s">
        <v>3204</v>
      </c>
      <c r="B671">
        <v>9931</v>
      </c>
    </row>
    <row r="672" spans="1:2" x14ac:dyDescent="0.25">
      <c r="A672" t="s">
        <v>3205</v>
      </c>
      <c r="B672">
        <v>9932</v>
      </c>
    </row>
    <row r="673" spans="1:2" x14ac:dyDescent="0.25">
      <c r="A673" t="s">
        <v>3206</v>
      </c>
      <c r="B673">
        <v>9933</v>
      </c>
    </row>
    <row r="674" spans="1:2" x14ac:dyDescent="0.25">
      <c r="A674" t="s">
        <v>3207</v>
      </c>
      <c r="B674">
        <v>9934</v>
      </c>
    </row>
    <row r="675" spans="1:2" x14ac:dyDescent="0.25">
      <c r="A675" t="s">
        <v>3208</v>
      </c>
      <c r="B675">
        <v>9935</v>
      </c>
    </row>
    <row r="676" spans="1:2" x14ac:dyDescent="0.25">
      <c r="A676" t="s">
        <v>3209</v>
      </c>
      <c r="B676">
        <v>9936</v>
      </c>
    </row>
    <row r="677" spans="1:2" x14ac:dyDescent="0.25">
      <c r="A677" t="s">
        <v>3210</v>
      </c>
      <c r="B677">
        <v>9939</v>
      </c>
    </row>
    <row r="678" spans="1:2" x14ac:dyDescent="0.25">
      <c r="A678" t="s">
        <v>2963</v>
      </c>
      <c r="B678">
        <v>9940</v>
      </c>
    </row>
    <row r="679" spans="1:2" x14ac:dyDescent="0.25">
      <c r="A679" t="s">
        <v>3211</v>
      </c>
      <c r="B679">
        <v>9941</v>
      </c>
    </row>
    <row r="680" spans="1:2" x14ac:dyDescent="0.25">
      <c r="A680" t="s">
        <v>3212</v>
      </c>
      <c r="B680">
        <v>9942</v>
      </c>
    </row>
    <row r="681" spans="1:2" x14ac:dyDescent="0.25">
      <c r="A681" t="s">
        <v>3213</v>
      </c>
      <c r="B681">
        <v>9943</v>
      </c>
    </row>
    <row r="682" spans="1:2" x14ac:dyDescent="0.25">
      <c r="A682" t="s">
        <v>3214</v>
      </c>
      <c r="B682">
        <v>9944</v>
      </c>
    </row>
    <row r="683" spans="1:2" x14ac:dyDescent="0.25">
      <c r="A683" t="s">
        <v>3215</v>
      </c>
      <c r="B683">
        <v>9945</v>
      </c>
    </row>
    <row r="684" spans="1:2" x14ac:dyDescent="0.25">
      <c r="A684" t="s">
        <v>3216</v>
      </c>
      <c r="B684">
        <v>9946</v>
      </c>
    </row>
    <row r="685" spans="1:2" x14ac:dyDescent="0.25">
      <c r="A685" t="s">
        <v>3217</v>
      </c>
      <c r="B685">
        <v>9947</v>
      </c>
    </row>
    <row r="686" spans="1:2" x14ac:dyDescent="0.25">
      <c r="A686" t="s">
        <v>3218</v>
      </c>
      <c r="B686">
        <v>9948</v>
      </c>
    </row>
    <row r="687" spans="1:2" x14ac:dyDescent="0.25">
      <c r="A687" t="s">
        <v>3219</v>
      </c>
      <c r="B687">
        <v>9949</v>
      </c>
    </row>
    <row r="688" spans="1:2" x14ac:dyDescent="0.25">
      <c r="A688" t="s">
        <v>3220</v>
      </c>
      <c r="B688">
        <v>9950</v>
      </c>
    </row>
    <row r="689" spans="1:2" x14ac:dyDescent="0.25">
      <c r="A689" t="s">
        <v>3221</v>
      </c>
      <c r="B689">
        <v>9951</v>
      </c>
    </row>
    <row r="690" spans="1:2" x14ac:dyDescent="0.25">
      <c r="A690" t="s">
        <v>3222</v>
      </c>
      <c r="B690">
        <v>9952</v>
      </c>
    </row>
    <row r="691" spans="1:2" x14ac:dyDescent="0.25">
      <c r="A691" t="s">
        <v>3223</v>
      </c>
      <c r="B691">
        <v>9953</v>
      </c>
    </row>
    <row r="692" spans="1:2" x14ac:dyDescent="0.25">
      <c r="A692" t="s">
        <v>3224</v>
      </c>
      <c r="B692">
        <v>9954</v>
      </c>
    </row>
    <row r="693" spans="1:2" x14ac:dyDescent="0.25">
      <c r="A693" t="s">
        <v>3225</v>
      </c>
      <c r="B693">
        <v>9955</v>
      </c>
    </row>
    <row r="694" spans="1:2" x14ac:dyDescent="0.25">
      <c r="A694" t="s">
        <v>3226</v>
      </c>
      <c r="B694">
        <v>9956</v>
      </c>
    </row>
    <row r="695" spans="1:2" x14ac:dyDescent="0.25">
      <c r="A695" t="s">
        <v>3227</v>
      </c>
      <c r="B695">
        <v>9957</v>
      </c>
    </row>
    <row r="696" spans="1:2" x14ac:dyDescent="0.25">
      <c r="A696" t="s">
        <v>3228</v>
      </c>
      <c r="B696">
        <v>9958</v>
      </c>
    </row>
    <row r="697" spans="1:2" x14ac:dyDescent="0.25">
      <c r="A697" t="s">
        <v>3229</v>
      </c>
      <c r="B697">
        <v>9959</v>
      </c>
    </row>
    <row r="698" spans="1:2" x14ac:dyDescent="0.25">
      <c r="A698" t="s">
        <v>3230</v>
      </c>
      <c r="B698">
        <v>9960</v>
      </c>
    </row>
    <row r="699" spans="1:2" x14ac:dyDescent="0.25">
      <c r="A699" t="s">
        <v>3231</v>
      </c>
      <c r="B699">
        <v>9961</v>
      </c>
    </row>
    <row r="700" spans="1:2" x14ac:dyDescent="0.25">
      <c r="A700" t="s">
        <v>3232</v>
      </c>
      <c r="B700">
        <v>9962</v>
      </c>
    </row>
    <row r="701" spans="1:2" x14ac:dyDescent="0.25">
      <c r="A701" t="s">
        <v>3233</v>
      </c>
      <c r="B701">
        <v>9963</v>
      </c>
    </row>
    <row r="702" spans="1:2" x14ac:dyDescent="0.25">
      <c r="A702" t="s">
        <v>3234</v>
      </c>
      <c r="B702">
        <v>9964</v>
      </c>
    </row>
    <row r="703" spans="1:2" x14ac:dyDescent="0.25">
      <c r="A703" t="s">
        <v>3235</v>
      </c>
      <c r="B703">
        <v>9965</v>
      </c>
    </row>
    <row r="704" spans="1:2" x14ac:dyDescent="0.25">
      <c r="A704" t="s">
        <v>3236</v>
      </c>
      <c r="B704">
        <v>9968</v>
      </c>
    </row>
    <row r="705" spans="1:2" x14ac:dyDescent="0.25">
      <c r="A705" t="s">
        <v>3237</v>
      </c>
      <c r="B705">
        <v>9969</v>
      </c>
    </row>
    <row r="706" spans="1:2" x14ac:dyDescent="0.25">
      <c r="A706" t="s">
        <v>3238</v>
      </c>
      <c r="B706">
        <v>9971</v>
      </c>
    </row>
    <row r="707" spans="1:2" x14ac:dyDescent="0.25">
      <c r="A707" t="s">
        <v>3239</v>
      </c>
      <c r="B707">
        <v>9972</v>
      </c>
    </row>
    <row r="708" spans="1:2" x14ac:dyDescent="0.25">
      <c r="A708" t="s">
        <v>3240</v>
      </c>
      <c r="B708">
        <v>9973</v>
      </c>
    </row>
    <row r="709" spans="1:2" x14ac:dyDescent="0.25">
      <c r="A709" t="s">
        <v>3241</v>
      </c>
      <c r="B709">
        <v>9974</v>
      </c>
    </row>
    <row r="710" spans="1:2" x14ac:dyDescent="0.25">
      <c r="A710" t="s">
        <v>3242</v>
      </c>
      <c r="B710">
        <v>9975</v>
      </c>
    </row>
    <row r="711" spans="1:2" x14ac:dyDescent="0.25">
      <c r="A711" t="s">
        <v>3243</v>
      </c>
      <c r="B711">
        <v>9976</v>
      </c>
    </row>
    <row r="712" spans="1:2" x14ac:dyDescent="0.25">
      <c r="A712" t="s">
        <v>3244</v>
      </c>
      <c r="B712">
        <v>9977</v>
      </c>
    </row>
    <row r="713" spans="1:2" x14ac:dyDescent="0.25">
      <c r="A713" t="s">
        <v>3245</v>
      </c>
      <c r="B713">
        <v>9978</v>
      </c>
    </row>
    <row r="714" spans="1:2" x14ac:dyDescent="0.25">
      <c r="A714" t="s">
        <v>3246</v>
      </c>
      <c r="B714">
        <v>9979</v>
      </c>
    </row>
    <row r="715" spans="1:2" x14ac:dyDescent="0.25">
      <c r="A715" t="s">
        <v>3247</v>
      </c>
      <c r="B715">
        <v>9980</v>
      </c>
    </row>
    <row r="716" spans="1:2" x14ac:dyDescent="0.25">
      <c r="A716" t="s">
        <v>3248</v>
      </c>
      <c r="B716">
        <v>9981</v>
      </c>
    </row>
    <row r="717" spans="1:2" x14ac:dyDescent="0.25">
      <c r="A717" t="s">
        <v>3249</v>
      </c>
      <c r="B717">
        <v>9982</v>
      </c>
    </row>
    <row r="718" spans="1:2" x14ac:dyDescent="0.25">
      <c r="A718" t="s">
        <v>3250</v>
      </c>
      <c r="B718">
        <v>9983</v>
      </c>
    </row>
    <row r="719" spans="1:2" x14ac:dyDescent="0.25">
      <c r="A719" t="s">
        <v>3251</v>
      </c>
      <c r="B719">
        <v>9984</v>
      </c>
    </row>
    <row r="720" spans="1:2" x14ac:dyDescent="0.25">
      <c r="A720" t="s">
        <v>3252</v>
      </c>
      <c r="B720">
        <v>9985</v>
      </c>
    </row>
    <row r="721" spans="1:2" x14ac:dyDescent="0.25">
      <c r="A721" t="s">
        <v>3253</v>
      </c>
      <c r="B721">
        <v>9988</v>
      </c>
    </row>
    <row r="722" spans="1:2" x14ac:dyDescent="0.25">
      <c r="A722" t="s">
        <v>3254</v>
      </c>
      <c r="B722">
        <v>9989</v>
      </c>
    </row>
    <row r="723" spans="1:2" x14ac:dyDescent="0.25">
      <c r="A723" t="s">
        <v>3255</v>
      </c>
      <c r="B723">
        <v>9990</v>
      </c>
    </row>
    <row r="724" spans="1:2" x14ac:dyDescent="0.25">
      <c r="A724" t="s">
        <v>3256</v>
      </c>
      <c r="B724">
        <v>9991</v>
      </c>
    </row>
    <row r="725" spans="1:2" x14ac:dyDescent="0.25">
      <c r="A725" t="s">
        <v>3257</v>
      </c>
      <c r="B725">
        <v>9992</v>
      </c>
    </row>
    <row r="726" spans="1:2" x14ac:dyDescent="0.25">
      <c r="A726" t="s">
        <v>3258</v>
      </c>
      <c r="B726">
        <v>9993</v>
      </c>
    </row>
    <row r="727" spans="1:2" x14ac:dyDescent="0.25">
      <c r="A727" t="s">
        <v>3259</v>
      </c>
      <c r="B727">
        <v>9994</v>
      </c>
    </row>
    <row r="728" spans="1:2" x14ac:dyDescent="0.25">
      <c r="A728" t="s">
        <v>3260</v>
      </c>
      <c r="B728">
        <v>9995</v>
      </c>
    </row>
    <row r="729" spans="1:2" x14ac:dyDescent="0.25">
      <c r="A729" t="s">
        <v>3261</v>
      </c>
      <c r="B729">
        <v>9996</v>
      </c>
    </row>
    <row r="730" spans="1:2" x14ac:dyDescent="0.25">
      <c r="A730" t="s">
        <v>3262</v>
      </c>
      <c r="B730">
        <v>9997</v>
      </c>
    </row>
    <row r="731" spans="1:2" x14ac:dyDescent="0.25">
      <c r="A731" t="s">
        <v>3263</v>
      </c>
      <c r="B731">
        <v>9998</v>
      </c>
    </row>
    <row r="732" spans="1:2" x14ac:dyDescent="0.25">
      <c r="A732" t="s">
        <v>3264</v>
      </c>
      <c r="B732">
        <v>9999</v>
      </c>
    </row>
  </sheetData>
  <pageMargins left="0.7" right="0.7" top="0.75" bottom="0.75" header="0.3" footer="0.3"/>
  <pageSetup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5EE9E-17B0-40A3-9F40-01B29A0A4E81}">
  <dimension ref="A2:M30"/>
  <sheetViews>
    <sheetView topLeftCell="A19" workbookViewId="0"/>
  </sheetViews>
  <sheetFormatPr defaultRowHeight="15" x14ac:dyDescent="0.25"/>
  <cols>
    <col min="1" max="1" width="39.7109375" bestFit="1" customWidth="1"/>
    <col min="6" max="6" width="18.85546875" customWidth="1"/>
    <col min="10" max="10" width="13.85546875" bestFit="1" customWidth="1"/>
    <col min="11" max="11" width="11.28515625" customWidth="1"/>
    <col min="12" max="12" width="16.5703125" bestFit="1" customWidth="1"/>
    <col min="13" max="13" width="22.7109375" customWidth="1"/>
  </cols>
  <sheetData>
    <row r="2" spans="1:7" x14ac:dyDescent="0.25">
      <c r="A2" t="s">
        <v>2425</v>
      </c>
      <c r="B2" t="s">
        <v>2427</v>
      </c>
      <c r="C2" t="s">
        <v>2428</v>
      </c>
      <c r="D2" t="s">
        <v>2440</v>
      </c>
      <c r="E2" t="s">
        <v>2448</v>
      </c>
      <c r="F2" t="s">
        <v>1268</v>
      </c>
      <c r="G2" t="s">
        <v>2429</v>
      </c>
    </row>
    <row r="3" spans="1:7" x14ac:dyDescent="0.25">
      <c r="A3" t="s">
        <v>2455</v>
      </c>
      <c r="B3">
        <v>1</v>
      </c>
      <c r="C3">
        <v>3</v>
      </c>
      <c r="D3">
        <v>5</v>
      </c>
      <c r="E3">
        <v>3</v>
      </c>
      <c r="F3" t="s">
        <v>2452</v>
      </c>
      <c r="G3" t="s">
        <v>2430</v>
      </c>
    </row>
    <row r="4" spans="1:7" x14ac:dyDescent="0.25">
      <c r="A4" t="s">
        <v>2426</v>
      </c>
      <c r="B4">
        <v>1</v>
      </c>
      <c r="C4">
        <v>3</v>
      </c>
      <c r="D4">
        <v>5</v>
      </c>
      <c r="E4">
        <v>3</v>
      </c>
      <c r="F4" t="s">
        <v>2452</v>
      </c>
    </row>
    <row r="5" spans="1:7" x14ac:dyDescent="0.25">
      <c r="A5" t="s">
        <v>2431</v>
      </c>
      <c r="B5">
        <f>SUM(B3:B4)</f>
        <v>2</v>
      </c>
      <c r="C5">
        <f t="shared" ref="C5:E5" si="0">SUM(C3:C4)</f>
        <v>6</v>
      </c>
      <c r="D5">
        <f t="shared" si="0"/>
        <v>10</v>
      </c>
      <c r="E5">
        <f t="shared" si="0"/>
        <v>6</v>
      </c>
    </row>
    <row r="7" spans="1:7" x14ac:dyDescent="0.25">
      <c r="A7" t="s">
        <v>2432</v>
      </c>
      <c r="B7" s="175">
        <v>4400</v>
      </c>
      <c r="C7" s="175">
        <v>0</v>
      </c>
      <c r="D7" s="175">
        <v>0</v>
      </c>
      <c r="E7" s="175">
        <v>0</v>
      </c>
    </row>
    <row r="8" spans="1:7" x14ac:dyDescent="0.25">
      <c r="A8" t="s">
        <v>2433</v>
      </c>
      <c r="B8" s="175">
        <v>0</v>
      </c>
      <c r="C8" s="175">
        <v>2200</v>
      </c>
      <c r="D8" s="175">
        <v>0</v>
      </c>
      <c r="E8" s="175">
        <f>C8</f>
        <v>2200</v>
      </c>
      <c r="F8" t="s">
        <v>2434</v>
      </c>
    </row>
    <row r="9" spans="1:7" x14ac:dyDescent="0.25">
      <c r="A9" t="s">
        <v>2449</v>
      </c>
      <c r="B9" s="175">
        <f>L18</f>
        <v>7852.32</v>
      </c>
      <c r="C9" s="175">
        <f>L19</f>
        <v>2100</v>
      </c>
      <c r="D9" s="175">
        <v>151</v>
      </c>
      <c r="E9" s="175">
        <f>C9</f>
        <v>2100</v>
      </c>
      <c r="F9" t="s">
        <v>2453</v>
      </c>
    </row>
    <row r="10" spans="1:7" x14ac:dyDescent="0.25">
      <c r="A10" t="s">
        <v>2450</v>
      </c>
      <c r="B10" s="175">
        <v>0</v>
      </c>
      <c r="C10" s="175">
        <v>10</v>
      </c>
      <c r="D10" s="175">
        <v>150</v>
      </c>
      <c r="E10" s="175">
        <v>150</v>
      </c>
      <c r="F10" t="s">
        <v>2454</v>
      </c>
    </row>
    <row r="11" spans="1:7" x14ac:dyDescent="0.25">
      <c r="A11" t="s">
        <v>2451</v>
      </c>
      <c r="B11" s="175">
        <f>SUM(B7:B10)</f>
        <v>12252.32</v>
      </c>
      <c r="C11" s="175">
        <f t="shared" ref="C11:E11" si="1">SUM(C7:C10)</f>
        <v>4310</v>
      </c>
      <c r="D11" s="175">
        <f t="shared" si="1"/>
        <v>301</v>
      </c>
      <c r="E11" s="175">
        <f t="shared" si="1"/>
        <v>4450</v>
      </c>
    </row>
    <row r="13" spans="1:7" x14ac:dyDescent="0.25">
      <c r="A13" t="s">
        <v>2438</v>
      </c>
      <c r="B13" s="253">
        <f>B5/B11</f>
        <v>1.6323439152748215E-4</v>
      </c>
      <c r="C13" s="253">
        <f>C5/C11</f>
        <v>1.3921113689095127E-3</v>
      </c>
      <c r="D13" s="253">
        <f>D5/D11</f>
        <v>3.3222591362126248E-2</v>
      </c>
      <c r="E13" s="253">
        <f>E5/E11</f>
        <v>1.348314606741573E-3</v>
      </c>
    </row>
    <row r="15" spans="1:7" x14ac:dyDescent="0.25">
      <c r="A15" t="s">
        <v>2439</v>
      </c>
      <c r="B15" s="31">
        <f>B13/$B$13</f>
        <v>1</v>
      </c>
      <c r="C15" s="31">
        <f t="shared" ref="C15:D15" si="2">C13/$B$13</f>
        <v>8.5282969837587004</v>
      </c>
      <c r="D15" s="31">
        <f t="shared" si="2"/>
        <v>203.52691029900333</v>
      </c>
      <c r="E15" s="31">
        <f t="shared" ref="E15" si="3">E13/$B$13</f>
        <v>8.2599910112359538</v>
      </c>
      <c r="F15" t="s">
        <v>2446</v>
      </c>
    </row>
    <row r="16" spans="1:7" x14ac:dyDescent="0.25">
      <c r="C16">
        <f>C13/$C$13</f>
        <v>1</v>
      </c>
      <c r="D16" s="31">
        <f>D13/$C$13</f>
        <v>23.864894795127356</v>
      </c>
      <c r="E16" s="31">
        <f>E13/$C$13</f>
        <v>0.96853932584269664</v>
      </c>
    </row>
    <row r="17" spans="9:13" x14ac:dyDescent="0.25">
      <c r="I17" t="s">
        <v>2441</v>
      </c>
      <c r="J17" t="s">
        <v>2442</v>
      </c>
      <c r="K17" t="s">
        <v>2443</v>
      </c>
      <c r="L17" t="s">
        <v>2444</v>
      </c>
      <c r="M17" t="s">
        <v>2445</v>
      </c>
    </row>
    <row r="18" spans="9:13" x14ac:dyDescent="0.25">
      <c r="I18" s="30">
        <v>1121760</v>
      </c>
      <c r="J18">
        <v>7</v>
      </c>
      <c r="K18" s="175">
        <f>I18*J18</f>
        <v>7852320</v>
      </c>
      <c r="L18" s="175">
        <f t="shared" ref="L18:M20" si="4">K18/1000</f>
        <v>7852.32</v>
      </c>
      <c r="M18" s="175">
        <f t="shared" si="4"/>
        <v>7.8523199999999997</v>
      </c>
    </row>
    <row r="19" spans="9:13" x14ac:dyDescent="0.25">
      <c r="I19" s="30">
        <v>300000</v>
      </c>
      <c r="J19">
        <v>7</v>
      </c>
      <c r="K19" s="175">
        <f>I19*J19</f>
        <v>2100000</v>
      </c>
      <c r="L19" s="175">
        <f t="shared" si="4"/>
        <v>2100</v>
      </c>
      <c r="M19" s="175">
        <f t="shared" si="4"/>
        <v>2.1</v>
      </c>
    </row>
    <row r="20" spans="9:13" x14ac:dyDescent="0.25">
      <c r="I20" s="30">
        <f>I19*0.1*0.72</f>
        <v>21600</v>
      </c>
      <c r="J20">
        <v>7</v>
      </c>
      <c r="K20" s="175">
        <f>I20*J20</f>
        <v>151200</v>
      </c>
      <c r="L20" s="175">
        <f t="shared" si="4"/>
        <v>151.19999999999999</v>
      </c>
      <c r="M20" s="175">
        <f t="shared" si="4"/>
        <v>0.1512</v>
      </c>
    </row>
    <row r="21" spans="9:13" ht="30" x14ac:dyDescent="0.25">
      <c r="I21" s="173" t="s">
        <v>2154</v>
      </c>
      <c r="J21" s="173" t="s">
        <v>2435</v>
      </c>
      <c r="K21" s="173" t="s">
        <v>2436</v>
      </c>
      <c r="L21" s="173" t="s">
        <v>2071</v>
      </c>
      <c r="M21" s="15" t="s">
        <v>388</v>
      </c>
    </row>
    <row r="22" spans="9:13" x14ac:dyDescent="0.25">
      <c r="I22" s="160" t="s">
        <v>243</v>
      </c>
      <c r="J22" s="163">
        <v>1698000000</v>
      </c>
      <c r="K22" s="250">
        <v>1.76</v>
      </c>
      <c r="L22" s="252">
        <v>2996470588</v>
      </c>
      <c r="M22" s="1" t="s">
        <v>2437</v>
      </c>
    </row>
    <row r="23" spans="9:13" x14ac:dyDescent="0.25">
      <c r="I23" s="1" t="s">
        <v>2155</v>
      </c>
      <c r="J23" s="163">
        <v>4000000000</v>
      </c>
      <c r="K23" s="250">
        <v>1.76</v>
      </c>
      <c r="L23" s="252">
        <v>7058823529</v>
      </c>
      <c r="M23" s="1" t="s">
        <v>2158</v>
      </c>
    </row>
    <row r="24" spans="9:13" x14ac:dyDescent="0.25">
      <c r="I24" s="1" t="s">
        <v>353</v>
      </c>
      <c r="J24" s="163">
        <v>9500000000</v>
      </c>
      <c r="K24" s="250">
        <v>1.76</v>
      </c>
      <c r="L24" s="252">
        <v>16764705882</v>
      </c>
      <c r="M24" s="1" t="s">
        <v>2161</v>
      </c>
    </row>
    <row r="25" spans="9:13" x14ac:dyDescent="0.25">
      <c r="I25" s="1" t="s">
        <v>2156</v>
      </c>
      <c r="J25" s="163">
        <v>13000000000</v>
      </c>
      <c r="K25" s="250">
        <v>1.76</v>
      </c>
      <c r="L25" s="252">
        <v>22941176471</v>
      </c>
      <c r="M25" s="1" t="s">
        <v>2157</v>
      </c>
    </row>
    <row r="26" spans="9:13" x14ac:dyDescent="0.25">
      <c r="L26" s="251">
        <f>SUM(L22:L25)</f>
        <v>49761176470</v>
      </c>
    </row>
    <row r="28" spans="9:13" x14ac:dyDescent="0.25">
      <c r="I28" s="1" t="s">
        <v>2447</v>
      </c>
      <c r="L28" s="30">
        <v>100000000000</v>
      </c>
    </row>
    <row r="30" spans="9:13" x14ac:dyDescent="0.25">
      <c r="L30" s="251">
        <f>SUM(L26:L28)</f>
        <v>149761176470</v>
      </c>
    </row>
  </sheetData>
  <pageMargins left="0.7" right="0.7" top="0.75" bottom="0.75" header="0.3" footer="0.3"/>
  <pageSetup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529C8-850E-40F1-A6F7-3FCA5E7E2B97}">
  <sheetPr filterMode="1"/>
  <dimension ref="A1:Q226"/>
  <sheetViews>
    <sheetView workbookViewId="0"/>
  </sheetViews>
  <sheetFormatPr defaultRowHeight="15" x14ac:dyDescent="0.25"/>
  <cols>
    <col min="2" max="2" width="13.42578125" customWidth="1"/>
    <col min="3" max="3" width="10.140625" bestFit="1" customWidth="1"/>
    <col min="5" max="5" width="8.85546875" customWidth="1"/>
    <col min="6" max="6" width="7" customWidth="1"/>
    <col min="7" max="7" width="10.42578125" bestFit="1" customWidth="1"/>
    <col min="8" max="8" width="10.140625" bestFit="1" customWidth="1"/>
    <col min="10" max="10" width="7.7109375" customWidth="1"/>
    <col min="11" max="11" width="6.85546875" customWidth="1"/>
    <col min="12" max="12" width="11.140625" bestFit="1" customWidth="1"/>
    <col min="14" max="14" width="12.7109375" bestFit="1" customWidth="1"/>
    <col min="15" max="15" width="9.140625" customWidth="1"/>
    <col min="16" max="16" width="6.7109375" style="33" bestFit="1" customWidth="1"/>
  </cols>
  <sheetData>
    <row r="1" spans="1:17" x14ac:dyDescent="0.25">
      <c r="A1" t="s">
        <v>2289</v>
      </c>
    </row>
    <row r="2" spans="1:17" x14ac:dyDescent="0.25">
      <c r="A2" t="s">
        <v>2135</v>
      </c>
      <c r="B2" s="269"/>
      <c r="C2" s="269"/>
      <c r="D2" s="269"/>
      <c r="E2" s="269"/>
      <c r="F2" s="269"/>
      <c r="G2" s="269"/>
      <c r="H2" s="269"/>
      <c r="I2" s="269"/>
      <c r="J2" s="269"/>
      <c r="K2" s="269"/>
      <c r="L2" s="269"/>
      <c r="M2" s="269"/>
      <c r="N2" s="269"/>
      <c r="O2" s="269"/>
      <c r="P2" s="244"/>
    </row>
    <row r="3" spans="1:17" x14ac:dyDescent="0.25">
      <c r="K3" s="247" t="s">
        <v>2300</v>
      </c>
    </row>
    <row r="4" spans="1:17" s="82" customFormat="1" ht="60" x14ac:dyDescent="0.25">
      <c r="A4" s="82" t="s">
        <v>8</v>
      </c>
      <c r="B4" s="81" t="s">
        <v>9</v>
      </c>
      <c r="C4" s="81" t="s">
        <v>1265</v>
      </c>
      <c r="D4" s="81" t="s">
        <v>2290</v>
      </c>
      <c r="E4" s="81" t="s">
        <v>2304</v>
      </c>
      <c r="F4" s="81" t="s">
        <v>2291</v>
      </c>
      <c r="G4" s="81" t="s">
        <v>2292</v>
      </c>
      <c r="H4" s="81" t="s">
        <v>2293</v>
      </c>
      <c r="I4" s="81" t="s">
        <v>2294</v>
      </c>
      <c r="J4" s="81" t="s">
        <v>2303</v>
      </c>
      <c r="K4" s="81" t="s">
        <v>2302</v>
      </c>
      <c r="L4" s="81" t="s">
        <v>2295</v>
      </c>
      <c r="M4" s="81" t="s">
        <v>2296</v>
      </c>
      <c r="N4" s="81" t="s">
        <v>13</v>
      </c>
      <c r="O4" s="81" t="s">
        <v>2301</v>
      </c>
      <c r="P4" s="189" t="s">
        <v>1455</v>
      </c>
    </row>
    <row r="5" spans="1:17" hidden="1" x14ac:dyDescent="0.25">
      <c r="A5">
        <v>177</v>
      </c>
      <c r="B5" t="s">
        <v>194</v>
      </c>
      <c r="C5">
        <v>804</v>
      </c>
      <c r="E5">
        <v>2</v>
      </c>
      <c r="G5">
        <v>687</v>
      </c>
      <c r="H5">
        <v>115</v>
      </c>
      <c r="J5">
        <v>67</v>
      </c>
      <c r="K5">
        <v>0.2</v>
      </c>
      <c r="L5" s="30">
        <v>76962</v>
      </c>
      <c r="M5" s="30">
        <v>6381</v>
      </c>
      <c r="N5" s="30">
        <v>12061183</v>
      </c>
      <c r="O5" s="146">
        <f>L5/N5</f>
        <v>6.3809661125280998E-3</v>
      </c>
      <c r="Q5" s="30">
        <v>1</v>
      </c>
    </row>
    <row r="6" spans="1:17" hidden="1" x14ac:dyDescent="0.25">
      <c r="A6">
        <v>173</v>
      </c>
      <c r="B6" t="s">
        <v>212</v>
      </c>
      <c r="C6" s="30">
        <v>1039</v>
      </c>
      <c r="E6">
        <v>1</v>
      </c>
      <c r="G6">
        <v>623</v>
      </c>
      <c r="H6">
        <v>415</v>
      </c>
      <c r="J6">
        <v>291</v>
      </c>
      <c r="K6">
        <v>0.3</v>
      </c>
      <c r="L6" s="30">
        <v>23693</v>
      </c>
      <c r="M6" s="30">
        <v>6636</v>
      </c>
      <c r="N6" s="30">
        <v>3570357</v>
      </c>
      <c r="O6" s="146">
        <f t="shared" ref="O6:O69" si="0">L6/N6</f>
        <v>6.6360310747636724E-3</v>
      </c>
      <c r="Q6" s="30">
        <f>Q5+1</f>
        <v>2</v>
      </c>
    </row>
    <row r="7" spans="1:17" s="258" customFormat="1" x14ac:dyDescent="0.25">
      <c r="A7" s="258">
        <v>179</v>
      </c>
      <c r="B7" s="258" t="s">
        <v>162</v>
      </c>
      <c r="C7" s="258">
        <v>793</v>
      </c>
      <c r="D7" s="258">
        <v>8</v>
      </c>
      <c r="E7" s="258">
        <v>7</v>
      </c>
      <c r="G7" s="258">
        <v>654</v>
      </c>
      <c r="H7" s="258">
        <v>132</v>
      </c>
      <c r="J7" s="258">
        <v>33</v>
      </c>
      <c r="K7" s="258">
        <v>0.3</v>
      </c>
      <c r="L7" s="259">
        <v>124021</v>
      </c>
      <c r="M7" s="259">
        <v>5203</v>
      </c>
      <c r="N7" s="259">
        <v>23837991</v>
      </c>
      <c r="O7" s="260">
        <f t="shared" si="0"/>
        <v>5.2026615833523889E-3</v>
      </c>
      <c r="P7" s="245" t="s">
        <v>258</v>
      </c>
      <c r="Q7" s="259">
        <f t="shared" ref="Q7:Q70" si="1">Q6+1</f>
        <v>3</v>
      </c>
    </row>
    <row r="8" spans="1:17" hidden="1" x14ac:dyDescent="0.25">
      <c r="A8">
        <v>187</v>
      </c>
      <c r="B8" t="s">
        <v>127</v>
      </c>
      <c r="C8">
        <v>509</v>
      </c>
      <c r="E8">
        <v>21</v>
      </c>
      <c r="G8">
        <v>183</v>
      </c>
      <c r="H8">
        <v>305</v>
      </c>
      <c r="I8">
        <v>7</v>
      </c>
      <c r="J8">
        <v>8</v>
      </c>
      <c r="K8">
        <v>0.3</v>
      </c>
      <c r="N8" s="30">
        <v>60553806</v>
      </c>
      <c r="O8" s="146">
        <f t="shared" si="0"/>
        <v>0</v>
      </c>
      <c r="Q8" s="30">
        <f t="shared" si="1"/>
        <v>4</v>
      </c>
    </row>
    <row r="9" spans="1:17" s="258" customFormat="1" x14ac:dyDescent="0.25">
      <c r="A9" s="258">
        <v>170</v>
      </c>
      <c r="B9" s="258" t="s">
        <v>204</v>
      </c>
      <c r="C9" s="259">
        <v>1451</v>
      </c>
      <c r="D9" s="258">
        <v>10</v>
      </c>
      <c r="E9" s="258">
        <v>35</v>
      </c>
      <c r="G9" s="259">
        <v>1303</v>
      </c>
      <c r="H9" s="258">
        <v>113</v>
      </c>
      <c r="J9" s="258">
        <v>15</v>
      </c>
      <c r="K9" s="258">
        <v>0.4</v>
      </c>
      <c r="L9" s="259">
        <v>1431631</v>
      </c>
      <c r="M9" s="259">
        <v>14643</v>
      </c>
      <c r="N9" s="259">
        <v>97767309</v>
      </c>
      <c r="O9" s="260">
        <f t="shared" si="0"/>
        <v>1.4643248491169988E-2</v>
      </c>
      <c r="P9" s="245" t="s">
        <v>258</v>
      </c>
      <c r="Q9" s="259">
        <f t="shared" si="1"/>
        <v>5</v>
      </c>
    </row>
    <row r="10" spans="1:17" s="258" customFormat="1" x14ac:dyDescent="0.25">
      <c r="A10" s="258">
        <v>142</v>
      </c>
      <c r="B10" s="258" t="s">
        <v>98</v>
      </c>
      <c r="C10" s="259">
        <v>6285</v>
      </c>
      <c r="D10" s="258">
        <v>144</v>
      </c>
      <c r="E10" s="258">
        <v>60</v>
      </c>
      <c r="G10" s="259">
        <v>4180</v>
      </c>
      <c r="H10" s="259">
        <v>2045</v>
      </c>
      <c r="I10" s="258">
        <v>1</v>
      </c>
      <c r="J10" s="258">
        <v>90</v>
      </c>
      <c r="K10" s="258">
        <v>0.9</v>
      </c>
      <c r="L10" s="259">
        <v>1217873</v>
      </c>
      <c r="M10" s="259">
        <v>17427</v>
      </c>
      <c r="N10" s="259">
        <v>69886134</v>
      </c>
      <c r="O10" s="260">
        <f t="shared" si="0"/>
        <v>1.7426532708190726E-2</v>
      </c>
      <c r="P10" s="245" t="s">
        <v>258</v>
      </c>
      <c r="Q10" s="259">
        <f t="shared" si="1"/>
        <v>6</v>
      </c>
    </row>
    <row r="11" spans="1:17" hidden="1" x14ac:dyDescent="0.25">
      <c r="A11">
        <v>180</v>
      </c>
      <c r="B11" t="s">
        <v>228</v>
      </c>
      <c r="C11">
        <v>780</v>
      </c>
      <c r="E11">
        <v>9</v>
      </c>
      <c r="G11">
        <v>661</v>
      </c>
      <c r="H11">
        <v>110</v>
      </c>
      <c r="J11">
        <v>86</v>
      </c>
      <c r="K11">
        <v>1</v>
      </c>
      <c r="L11" s="30">
        <v>36674</v>
      </c>
      <c r="M11" s="30">
        <v>4062</v>
      </c>
      <c r="N11" s="30">
        <v>9029328</v>
      </c>
      <c r="O11" s="146">
        <f t="shared" si="0"/>
        <v>4.061653314620977E-3</v>
      </c>
      <c r="Q11" s="30">
        <f t="shared" si="1"/>
        <v>7</v>
      </c>
    </row>
    <row r="12" spans="1:17" hidden="1" x14ac:dyDescent="0.25">
      <c r="A12">
        <v>202</v>
      </c>
      <c r="B12" t="s">
        <v>218</v>
      </c>
      <c r="C12">
        <v>46</v>
      </c>
      <c r="E12">
        <v>2</v>
      </c>
      <c r="G12">
        <v>44</v>
      </c>
      <c r="H12">
        <v>0</v>
      </c>
      <c r="J12">
        <v>51</v>
      </c>
      <c r="K12">
        <v>2</v>
      </c>
      <c r="L12" s="30">
        <v>19883</v>
      </c>
      <c r="M12" s="30">
        <v>22101</v>
      </c>
      <c r="N12" s="30">
        <v>899629</v>
      </c>
      <c r="O12" s="146">
        <f t="shared" si="0"/>
        <v>2.2101332882777235E-2</v>
      </c>
      <c r="Q12" s="30">
        <f t="shared" si="1"/>
        <v>8</v>
      </c>
    </row>
    <row r="13" spans="1:17" hidden="1" x14ac:dyDescent="0.25">
      <c r="A13">
        <v>215</v>
      </c>
      <c r="B13" t="s">
        <v>201</v>
      </c>
      <c r="C13">
        <v>10</v>
      </c>
      <c r="E13">
        <v>1</v>
      </c>
      <c r="G13">
        <v>8</v>
      </c>
      <c r="H13">
        <v>1</v>
      </c>
      <c r="J13">
        <v>17</v>
      </c>
      <c r="K13">
        <v>2</v>
      </c>
      <c r="N13" s="30">
        <v>604437</v>
      </c>
      <c r="O13" s="146">
        <f t="shared" si="0"/>
        <v>0</v>
      </c>
      <c r="Q13" s="30">
        <f t="shared" si="1"/>
        <v>9</v>
      </c>
    </row>
    <row r="14" spans="1:17" s="258" customFormat="1" x14ac:dyDescent="0.25">
      <c r="A14" s="258">
        <v>80</v>
      </c>
      <c r="B14" s="258" t="s">
        <v>28</v>
      </c>
      <c r="C14" s="259">
        <v>86976</v>
      </c>
      <c r="D14" s="258">
        <v>21</v>
      </c>
      <c r="E14" s="259">
        <v>4634</v>
      </c>
      <c r="G14" s="259">
        <v>82003</v>
      </c>
      <c r="H14" s="258">
        <v>339</v>
      </c>
      <c r="I14" s="258">
        <v>5</v>
      </c>
      <c r="J14" s="258">
        <v>60</v>
      </c>
      <c r="K14" s="258">
        <v>3</v>
      </c>
      <c r="L14" s="259">
        <v>160000000</v>
      </c>
      <c r="M14" s="259">
        <v>111163</v>
      </c>
      <c r="N14" s="259">
        <v>1439323776</v>
      </c>
      <c r="O14" s="260">
        <f t="shared" si="0"/>
        <v>0.1111633134030852</v>
      </c>
      <c r="P14" s="245" t="s">
        <v>258</v>
      </c>
      <c r="Q14" s="259">
        <f t="shared" si="1"/>
        <v>10</v>
      </c>
    </row>
    <row r="15" spans="1:17" hidden="1" x14ac:dyDescent="0.25">
      <c r="A15">
        <v>140</v>
      </c>
      <c r="B15" t="s">
        <v>101</v>
      </c>
      <c r="C15" s="30">
        <v>6344</v>
      </c>
      <c r="E15">
        <v>78</v>
      </c>
      <c r="G15" s="30">
        <v>4775</v>
      </c>
      <c r="H15" s="30">
        <v>1491</v>
      </c>
      <c r="J15">
        <v>300</v>
      </c>
      <c r="K15">
        <v>4</v>
      </c>
      <c r="N15" s="30">
        <v>21179633</v>
      </c>
      <c r="O15" s="146">
        <f t="shared" si="0"/>
        <v>0</v>
      </c>
      <c r="Q15" s="30">
        <f t="shared" si="1"/>
        <v>11</v>
      </c>
    </row>
    <row r="16" spans="1:17" hidden="1" x14ac:dyDescent="0.25">
      <c r="A16">
        <v>157</v>
      </c>
      <c r="B16" t="s">
        <v>177</v>
      </c>
      <c r="C16" s="30">
        <v>3205</v>
      </c>
      <c r="E16">
        <v>44</v>
      </c>
      <c r="G16" s="30">
        <v>3061</v>
      </c>
      <c r="H16">
        <v>100</v>
      </c>
      <c r="J16">
        <v>261</v>
      </c>
      <c r="K16">
        <v>4</v>
      </c>
      <c r="L16" s="30">
        <v>379760</v>
      </c>
      <c r="M16" s="30">
        <v>30934</v>
      </c>
      <c r="N16" s="30">
        <v>12276462</v>
      </c>
      <c r="O16" s="146">
        <f t="shared" si="0"/>
        <v>3.0933993849368003E-2</v>
      </c>
      <c r="Q16" s="30">
        <f t="shared" si="1"/>
        <v>12</v>
      </c>
    </row>
    <row r="17" spans="1:17" hidden="1" x14ac:dyDescent="0.25">
      <c r="A17">
        <v>158</v>
      </c>
      <c r="B17" t="s">
        <v>95</v>
      </c>
      <c r="C17" s="30">
        <v>3110</v>
      </c>
      <c r="E17">
        <v>96</v>
      </c>
      <c r="G17" s="30">
        <v>1673</v>
      </c>
      <c r="H17" s="30">
        <v>1341</v>
      </c>
      <c r="I17">
        <v>9</v>
      </c>
      <c r="J17">
        <v>126</v>
      </c>
      <c r="K17">
        <v>4</v>
      </c>
      <c r="L17" s="30">
        <v>59753</v>
      </c>
      <c r="M17" s="30">
        <v>2426</v>
      </c>
      <c r="N17" s="30">
        <v>24625881</v>
      </c>
      <c r="O17" s="146">
        <f t="shared" si="0"/>
        <v>2.4264309569269828E-3</v>
      </c>
      <c r="Q17" s="30">
        <f t="shared" si="1"/>
        <v>13</v>
      </c>
    </row>
    <row r="18" spans="1:17" s="258" customFormat="1" x14ac:dyDescent="0.25">
      <c r="A18" s="258">
        <v>86</v>
      </c>
      <c r="B18" s="258" t="s">
        <v>123</v>
      </c>
      <c r="C18" s="259">
        <v>58529</v>
      </c>
      <c r="D18" s="258">
        <v>5</v>
      </c>
      <c r="E18" s="258">
        <v>29</v>
      </c>
      <c r="G18" s="259">
        <v>58386</v>
      </c>
      <c r="H18" s="258">
        <v>114</v>
      </c>
      <c r="J18" s="259">
        <v>9966</v>
      </c>
      <c r="K18" s="258">
        <v>5</v>
      </c>
      <c r="L18" s="259">
        <v>5236487</v>
      </c>
      <c r="M18" s="259">
        <v>891638</v>
      </c>
      <c r="N18" s="259">
        <v>5872885</v>
      </c>
      <c r="O18" s="260">
        <f t="shared" si="0"/>
        <v>0.8916379258235092</v>
      </c>
      <c r="P18" s="245" t="s">
        <v>258</v>
      </c>
      <c r="Q18" s="259">
        <f t="shared" si="1"/>
        <v>14</v>
      </c>
    </row>
    <row r="19" spans="1:17" hidden="1" x14ac:dyDescent="0.25">
      <c r="A19">
        <v>98</v>
      </c>
      <c r="B19" t="s">
        <v>205</v>
      </c>
      <c r="C19" s="30">
        <v>33973</v>
      </c>
      <c r="D19">
        <v>162</v>
      </c>
      <c r="E19">
        <v>248</v>
      </c>
      <c r="G19" s="30">
        <v>11297</v>
      </c>
      <c r="H19" s="30">
        <v>22428</v>
      </c>
      <c r="J19">
        <v>732</v>
      </c>
      <c r="K19">
        <v>5</v>
      </c>
      <c r="L19" s="30">
        <v>736720</v>
      </c>
      <c r="M19" s="30">
        <v>15866</v>
      </c>
      <c r="N19" s="30">
        <v>46434975</v>
      </c>
      <c r="O19" s="146">
        <f t="shared" si="0"/>
        <v>1.5865627148501749E-2</v>
      </c>
      <c r="Q19" s="30">
        <f t="shared" si="1"/>
        <v>15</v>
      </c>
    </row>
    <row r="20" spans="1:17" hidden="1" x14ac:dyDescent="0.25">
      <c r="A20">
        <v>104</v>
      </c>
      <c r="B20" t="s">
        <v>117</v>
      </c>
      <c r="C20" s="30">
        <v>22152</v>
      </c>
      <c r="E20">
        <v>135</v>
      </c>
      <c r="G20" s="30">
        <v>21752</v>
      </c>
      <c r="H20">
        <v>265</v>
      </c>
      <c r="J20">
        <v>830</v>
      </c>
      <c r="K20">
        <v>5</v>
      </c>
      <c r="L20" s="30">
        <v>253132</v>
      </c>
      <c r="M20" s="30">
        <v>9483</v>
      </c>
      <c r="N20" s="30">
        <v>26693932</v>
      </c>
      <c r="O20" s="146">
        <f t="shared" si="0"/>
        <v>9.48275435780686E-3</v>
      </c>
      <c r="Q20" s="30">
        <f t="shared" si="1"/>
        <v>16</v>
      </c>
    </row>
    <row r="21" spans="1:17" hidden="1" x14ac:dyDescent="0.25">
      <c r="A21">
        <v>108</v>
      </c>
      <c r="B21" t="s">
        <v>189</v>
      </c>
      <c r="C21" s="30">
        <v>18310</v>
      </c>
      <c r="D21">
        <v>45</v>
      </c>
      <c r="E21">
        <v>162</v>
      </c>
      <c r="F21">
        <v>1</v>
      </c>
      <c r="G21" s="30">
        <v>16178</v>
      </c>
      <c r="H21" s="30">
        <v>1970</v>
      </c>
      <c r="J21">
        <v>578</v>
      </c>
      <c r="K21">
        <v>5</v>
      </c>
      <c r="L21" s="30">
        <v>267599</v>
      </c>
      <c r="M21" s="30">
        <v>8448</v>
      </c>
      <c r="N21" s="30">
        <v>31677420</v>
      </c>
      <c r="O21" s="146">
        <f t="shared" si="0"/>
        <v>8.4476261008630121E-3</v>
      </c>
      <c r="Q21" s="30">
        <f t="shared" si="1"/>
        <v>17</v>
      </c>
    </row>
    <row r="22" spans="1:17" s="258" customFormat="1" x14ac:dyDescent="0.25">
      <c r="A22" s="258">
        <v>164</v>
      </c>
      <c r="B22" s="261" t="s">
        <v>126</v>
      </c>
      <c r="C22" s="259">
        <v>2144</v>
      </c>
      <c r="E22" s="258">
        <v>25</v>
      </c>
      <c r="G22" s="259">
        <v>2069</v>
      </c>
      <c r="H22" s="258">
        <v>50</v>
      </c>
      <c r="J22" s="258">
        <v>429</v>
      </c>
      <c r="K22" s="258">
        <v>5</v>
      </c>
      <c r="L22" s="259">
        <v>1394812</v>
      </c>
      <c r="M22" s="259">
        <v>278845</v>
      </c>
      <c r="N22" s="259">
        <v>5002100</v>
      </c>
      <c r="O22" s="260">
        <f t="shared" si="0"/>
        <v>0.27884528498030825</v>
      </c>
      <c r="P22" s="245" t="s">
        <v>258</v>
      </c>
      <c r="Q22" s="259">
        <f t="shared" si="1"/>
        <v>18</v>
      </c>
    </row>
    <row r="23" spans="1:17" hidden="1" x14ac:dyDescent="0.25">
      <c r="A23">
        <v>82</v>
      </c>
      <c r="B23" t="s">
        <v>67</v>
      </c>
      <c r="C23" s="30">
        <v>84414</v>
      </c>
      <c r="E23" s="30">
        <v>1254</v>
      </c>
      <c r="G23" s="30">
        <v>71034</v>
      </c>
      <c r="H23" s="30">
        <v>12126</v>
      </c>
      <c r="I23">
        <v>10</v>
      </c>
      <c r="J23">
        <v>405</v>
      </c>
      <c r="K23">
        <v>6</v>
      </c>
      <c r="L23" s="30">
        <v>925215</v>
      </c>
      <c r="M23" s="30">
        <v>4435</v>
      </c>
      <c r="N23" s="30">
        <v>208608549</v>
      </c>
      <c r="O23" s="146">
        <f t="shared" si="0"/>
        <v>4.4351729803748362E-3</v>
      </c>
      <c r="Q23" s="30">
        <f t="shared" si="1"/>
        <v>19</v>
      </c>
    </row>
    <row r="24" spans="1:17" hidden="1" x14ac:dyDescent="0.25">
      <c r="A24">
        <v>111</v>
      </c>
      <c r="B24" t="s">
        <v>91</v>
      </c>
      <c r="C24" s="30">
        <v>16917</v>
      </c>
      <c r="D24">
        <v>78</v>
      </c>
      <c r="E24">
        <v>579</v>
      </c>
      <c r="G24" s="30">
        <v>14484</v>
      </c>
      <c r="H24" s="30">
        <v>1854</v>
      </c>
      <c r="J24">
        <v>186</v>
      </c>
      <c r="K24">
        <v>6</v>
      </c>
      <c r="N24" s="30">
        <v>90870821</v>
      </c>
      <c r="O24" s="146">
        <f t="shared" si="0"/>
        <v>0</v>
      </c>
      <c r="Q24" s="30">
        <f t="shared" si="1"/>
        <v>20</v>
      </c>
    </row>
    <row r="25" spans="1:17" hidden="1" x14ac:dyDescent="0.25">
      <c r="A25">
        <v>115</v>
      </c>
      <c r="B25" t="s">
        <v>128</v>
      </c>
      <c r="C25" s="30">
        <v>13674</v>
      </c>
      <c r="E25">
        <v>80</v>
      </c>
      <c r="G25" s="30">
        <v>13067</v>
      </c>
      <c r="H25">
        <v>527</v>
      </c>
      <c r="I25">
        <v>24</v>
      </c>
      <c r="J25" s="30">
        <v>1028</v>
      </c>
      <c r="K25">
        <v>6</v>
      </c>
      <c r="L25" s="30">
        <v>105582</v>
      </c>
      <c r="M25" s="30">
        <v>7936</v>
      </c>
      <c r="N25" s="30">
        <v>13304590</v>
      </c>
      <c r="O25" s="146">
        <f t="shared" si="0"/>
        <v>7.9357575092505669E-3</v>
      </c>
      <c r="Q25" s="30">
        <f t="shared" si="1"/>
        <v>21</v>
      </c>
    </row>
    <row r="26" spans="1:17" hidden="1" x14ac:dyDescent="0.25">
      <c r="A26">
        <v>133</v>
      </c>
      <c r="B26" t="s">
        <v>203</v>
      </c>
      <c r="C26" s="30">
        <v>7970</v>
      </c>
      <c r="E26">
        <v>74</v>
      </c>
      <c r="G26" s="30">
        <v>6289</v>
      </c>
      <c r="H26" s="30">
        <v>1607</v>
      </c>
      <c r="J26">
        <v>608</v>
      </c>
      <c r="K26">
        <v>6</v>
      </c>
      <c r="L26" s="30">
        <v>716933</v>
      </c>
      <c r="M26" s="30">
        <v>54697</v>
      </c>
      <c r="N26" s="30">
        <v>13107371</v>
      </c>
      <c r="O26" s="146">
        <f t="shared" si="0"/>
        <v>5.4696933504056612E-2</v>
      </c>
      <c r="Q26" s="30">
        <f t="shared" si="1"/>
        <v>22</v>
      </c>
    </row>
    <row r="27" spans="1:17" hidden="1" x14ac:dyDescent="0.25">
      <c r="A27">
        <v>156</v>
      </c>
      <c r="B27" t="s">
        <v>158</v>
      </c>
      <c r="C27" s="30">
        <v>3490</v>
      </c>
      <c r="E27">
        <v>62</v>
      </c>
      <c r="G27" s="30">
        <v>3118</v>
      </c>
      <c r="H27">
        <v>310</v>
      </c>
      <c r="I27">
        <v>1</v>
      </c>
      <c r="J27">
        <v>310</v>
      </c>
      <c r="K27">
        <v>6</v>
      </c>
      <c r="L27" s="30">
        <v>73265</v>
      </c>
      <c r="M27" s="30">
        <v>6508</v>
      </c>
      <c r="N27" s="30">
        <v>11257831</v>
      </c>
      <c r="O27" s="146">
        <f t="shared" si="0"/>
        <v>6.507914357570299E-3</v>
      </c>
      <c r="Q27" s="30">
        <f t="shared" si="1"/>
        <v>23</v>
      </c>
    </row>
    <row r="28" spans="1:17" hidden="1" x14ac:dyDescent="0.25">
      <c r="A28">
        <v>167</v>
      </c>
      <c r="B28" t="s">
        <v>96</v>
      </c>
      <c r="C28" s="30">
        <v>2005</v>
      </c>
      <c r="E28">
        <v>104</v>
      </c>
      <c r="G28" s="30">
        <v>1662</v>
      </c>
      <c r="H28">
        <v>239</v>
      </c>
      <c r="J28">
        <v>120</v>
      </c>
      <c r="K28">
        <v>6</v>
      </c>
      <c r="N28" s="30">
        <v>16652868</v>
      </c>
      <c r="O28" s="146">
        <f t="shared" si="0"/>
        <v>0</v>
      </c>
      <c r="Q28" s="30">
        <f t="shared" si="1"/>
        <v>24</v>
      </c>
    </row>
    <row r="29" spans="1:17" hidden="1" x14ac:dyDescent="0.25">
      <c r="A29">
        <v>197</v>
      </c>
      <c r="B29" t="s">
        <v>2126</v>
      </c>
      <c r="C29">
        <v>152</v>
      </c>
      <c r="E29">
        <v>3</v>
      </c>
      <c r="G29">
        <v>149</v>
      </c>
      <c r="H29">
        <v>0</v>
      </c>
      <c r="J29">
        <v>346</v>
      </c>
      <c r="K29">
        <v>7</v>
      </c>
      <c r="L29" s="30">
        <v>81657</v>
      </c>
      <c r="M29" s="30">
        <v>185783</v>
      </c>
      <c r="N29" s="30">
        <v>439529</v>
      </c>
      <c r="O29" s="146">
        <f t="shared" si="0"/>
        <v>0.18578296312643761</v>
      </c>
      <c r="Q29" s="30">
        <f t="shared" si="1"/>
        <v>25</v>
      </c>
    </row>
    <row r="30" spans="1:17" hidden="1" x14ac:dyDescent="0.25">
      <c r="A30">
        <v>152</v>
      </c>
      <c r="B30" t="s">
        <v>92</v>
      </c>
      <c r="C30" s="30">
        <v>4690</v>
      </c>
      <c r="E30">
        <v>127</v>
      </c>
      <c r="G30" s="30">
        <v>3605</v>
      </c>
      <c r="H30">
        <v>958</v>
      </c>
      <c r="J30">
        <v>291</v>
      </c>
      <c r="K30">
        <v>8</v>
      </c>
      <c r="N30" s="30">
        <v>16106921</v>
      </c>
      <c r="O30" s="146">
        <f t="shared" si="0"/>
        <v>0</v>
      </c>
      <c r="Q30" s="30">
        <f t="shared" si="1"/>
        <v>26</v>
      </c>
    </row>
    <row r="31" spans="1:17" hidden="1" x14ac:dyDescent="0.25">
      <c r="A31">
        <v>155</v>
      </c>
      <c r="B31" t="s">
        <v>141</v>
      </c>
      <c r="C31" s="30">
        <v>3555</v>
      </c>
      <c r="E31">
        <v>68</v>
      </c>
      <c r="G31" s="30">
        <v>3261</v>
      </c>
      <c r="H31">
        <v>226</v>
      </c>
      <c r="J31">
        <v>425</v>
      </c>
      <c r="K31">
        <v>8</v>
      </c>
      <c r="L31" s="30">
        <v>173642</v>
      </c>
      <c r="M31" s="30">
        <v>20739</v>
      </c>
      <c r="N31" s="30">
        <v>8372594</v>
      </c>
      <c r="O31" s="146">
        <f t="shared" si="0"/>
        <v>2.0739331203686696E-2</v>
      </c>
      <c r="Q31" s="30">
        <f t="shared" si="1"/>
        <v>27</v>
      </c>
    </row>
    <row r="32" spans="1:17" hidden="1" x14ac:dyDescent="0.25">
      <c r="A32">
        <v>181</v>
      </c>
      <c r="B32" t="s">
        <v>192</v>
      </c>
      <c r="C32">
        <v>715</v>
      </c>
      <c r="E32">
        <v>7</v>
      </c>
      <c r="G32">
        <v>626</v>
      </c>
      <c r="H32">
        <v>82</v>
      </c>
      <c r="J32">
        <v>814</v>
      </c>
      <c r="K32">
        <v>8</v>
      </c>
      <c r="N32" s="30">
        <v>878579</v>
      </c>
      <c r="O32" s="146">
        <f t="shared" si="0"/>
        <v>0</v>
      </c>
      <c r="Q32" s="30">
        <f t="shared" si="1"/>
        <v>28</v>
      </c>
    </row>
    <row r="33" spans="1:17" hidden="1" x14ac:dyDescent="0.25">
      <c r="A33">
        <v>186</v>
      </c>
      <c r="B33" t="s">
        <v>153</v>
      </c>
      <c r="C33">
        <v>527</v>
      </c>
      <c r="E33">
        <v>10</v>
      </c>
      <c r="G33">
        <v>496</v>
      </c>
      <c r="H33">
        <v>21</v>
      </c>
      <c r="J33">
        <v>414</v>
      </c>
      <c r="K33">
        <v>8</v>
      </c>
      <c r="L33" s="30">
        <v>289552</v>
      </c>
      <c r="M33" s="30">
        <v>227491</v>
      </c>
      <c r="N33" s="30">
        <v>1272807</v>
      </c>
      <c r="O33" s="146">
        <f t="shared" si="0"/>
        <v>0.22749089217768287</v>
      </c>
      <c r="Q33" s="30">
        <f t="shared" si="1"/>
        <v>29</v>
      </c>
    </row>
    <row r="34" spans="1:17" s="258" customFormat="1" x14ac:dyDescent="0.25">
      <c r="A34" s="258">
        <v>95</v>
      </c>
      <c r="B34" s="258" t="s">
        <v>151</v>
      </c>
      <c r="C34" s="259">
        <v>41603</v>
      </c>
      <c r="D34" s="258">
        <v>549</v>
      </c>
      <c r="E34" s="258">
        <v>194</v>
      </c>
      <c r="F34" s="258">
        <v>3</v>
      </c>
      <c r="G34" s="259">
        <v>33221</v>
      </c>
      <c r="H34" s="259">
        <v>8188</v>
      </c>
      <c r="J34" s="259">
        <v>1939</v>
      </c>
      <c r="K34" s="258">
        <v>9</v>
      </c>
      <c r="L34" s="259">
        <v>1204350</v>
      </c>
      <c r="M34" s="259">
        <v>56128</v>
      </c>
      <c r="N34" s="259">
        <v>21457360</v>
      </c>
      <c r="O34" s="260">
        <f t="shared" si="0"/>
        <v>5.6127594447779226E-2</v>
      </c>
      <c r="P34" s="245" t="s">
        <v>258</v>
      </c>
      <c r="Q34" s="259">
        <f t="shared" si="1"/>
        <v>30</v>
      </c>
    </row>
    <row r="35" spans="1:17" hidden="1" x14ac:dyDescent="0.25">
      <c r="A35">
        <v>109</v>
      </c>
      <c r="B35" t="s">
        <v>182</v>
      </c>
      <c r="C35" s="30">
        <v>17714</v>
      </c>
      <c r="E35">
        <v>261</v>
      </c>
      <c r="G35" s="30">
        <v>17228</v>
      </c>
      <c r="H35">
        <v>225</v>
      </c>
      <c r="I35">
        <v>16</v>
      </c>
      <c r="J35">
        <v>632</v>
      </c>
      <c r="K35">
        <v>9</v>
      </c>
      <c r="L35" s="30">
        <v>100305</v>
      </c>
      <c r="M35" s="30">
        <v>3578</v>
      </c>
      <c r="N35" s="30">
        <v>28034753</v>
      </c>
      <c r="O35" s="146">
        <f t="shared" si="0"/>
        <v>3.577880639790192E-3</v>
      </c>
      <c r="Q35" s="30">
        <f t="shared" si="1"/>
        <v>31</v>
      </c>
    </row>
    <row r="36" spans="1:17" hidden="1" x14ac:dyDescent="0.25">
      <c r="A36">
        <v>118</v>
      </c>
      <c r="B36" t="s">
        <v>105</v>
      </c>
      <c r="C36" s="30">
        <v>13237</v>
      </c>
      <c r="D36">
        <v>32</v>
      </c>
      <c r="E36">
        <v>90</v>
      </c>
      <c r="G36" s="30">
        <v>12726</v>
      </c>
      <c r="H36">
        <v>421</v>
      </c>
      <c r="J36" s="30">
        <v>1373</v>
      </c>
      <c r="K36">
        <v>9</v>
      </c>
      <c r="N36" s="30">
        <v>9641370</v>
      </c>
      <c r="O36" s="146">
        <f t="shared" si="0"/>
        <v>0</v>
      </c>
      <c r="Q36" s="30">
        <f t="shared" si="1"/>
        <v>32</v>
      </c>
    </row>
    <row r="37" spans="1:17" hidden="1" x14ac:dyDescent="0.25">
      <c r="A37">
        <v>161</v>
      </c>
      <c r="B37" t="s">
        <v>107</v>
      </c>
      <c r="C37" s="30">
        <v>2560</v>
      </c>
      <c r="E37">
        <v>76</v>
      </c>
      <c r="G37" s="30">
        <v>1872</v>
      </c>
      <c r="H37">
        <v>612</v>
      </c>
      <c r="J37">
        <v>318</v>
      </c>
      <c r="K37">
        <v>9</v>
      </c>
      <c r="N37" s="30">
        <v>8055669</v>
      </c>
      <c r="O37" s="146">
        <f t="shared" si="0"/>
        <v>0</v>
      </c>
      <c r="Q37" s="30">
        <f t="shared" si="1"/>
        <v>33</v>
      </c>
    </row>
    <row r="38" spans="1:17" hidden="1" x14ac:dyDescent="0.25">
      <c r="A38">
        <v>139</v>
      </c>
      <c r="B38" t="s">
        <v>172</v>
      </c>
      <c r="C38" s="30">
        <v>6354</v>
      </c>
      <c r="E38">
        <v>188</v>
      </c>
      <c r="G38" s="30">
        <v>5682</v>
      </c>
      <c r="H38">
        <v>484</v>
      </c>
      <c r="I38">
        <v>4</v>
      </c>
      <c r="J38">
        <v>328</v>
      </c>
      <c r="K38">
        <v>10</v>
      </c>
      <c r="L38" s="30">
        <v>84080</v>
      </c>
      <c r="M38" s="30">
        <v>4341</v>
      </c>
      <c r="N38" s="30">
        <v>19368613</v>
      </c>
      <c r="O38" s="146">
        <f t="shared" si="0"/>
        <v>4.341043935360782E-3</v>
      </c>
      <c r="Q38" s="30">
        <f t="shared" si="1"/>
        <v>34</v>
      </c>
    </row>
    <row r="39" spans="1:17" s="258" customFormat="1" x14ac:dyDescent="0.25">
      <c r="A39" s="258">
        <v>89</v>
      </c>
      <c r="B39" s="258" t="s">
        <v>114</v>
      </c>
      <c r="C39" s="259">
        <v>54401</v>
      </c>
      <c r="E39" s="258">
        <v>333</v>
      </c>
      <c r="G39" s="259">
        <v>53180</v>
      </c>
      <c r="H39" s="258">
        <v>888</v>
      </c>
      <c r="I39" s="258">
        <v>13</v>
      </c>
      <c r="J39" s="259">
        <v>1733</v>
      </c>
      <c r="K39" s="258">
        <v>11</v>
      </c>
      <c r="L39" s="259">
        <v>656754</v>
      </c>
      <c r="M39" s="259">
        <v>20924</v>
      </c>
      <c r="N39" s="259">
        <v>31387415</v>
      </c>
      <c r="O39" s="260">
        <f t="shared" si="0"/>
        <v>2.0924118790923051E-2</v>
      </c>
      <c r="P39" s="245" t="s">
        <v>258</v>
      </c>
      <c r="Q39" s="259">
        <f t="shared" si="1"/>
        <v>35</v>
      </c>
    </row>
    <row r="40" spans="1:17" hidden="1" x14ac:dyDescent="0.25">
      <c r="A40">
        <v>110</v>
      </c>
      <c r="B40" t="s">
        <v>174</v>
      </c>
      <c r="C40" s="30">
        <v>17240</v>
      </c>
      <c r="E40">
        <v>399</v>
      </c>
      <c r="G40" s="30">
        <v>10354</v>
      </c>
      <c r="H40" s="30">
        <v>6487</v>
      </c>
      <c r="I40">
        <v>8</v>
      </c>
      <c r="J40">
        <v>517</v>
      </c>
      <c r="K40">
        <v>12</v>
      </c>
      <c r="L40" s="30">
        <v>171247</v>
      </c>
      <c r="M40" s="30">
        <v>5134</v>
      </c>
      <c r="N40" s="30">
        <v>33357625</v>
      </c>
      <c r="O40" s="146">
        <f t="shared" si="0"/>
        <v>5.1336688388336996E-3</v>
      </c>
      <c r="Q40" s="30">
        <f t="shared" si="1"/>
        <v>36</v>
      </c>
    </row>
    <row r="41" spans="1:17" hidden="1" x14ac:dyDescent="0.25">
      <c r="A41">
        <v>138</v>
      </c>
      <c r="B41" t="s">
        <v>90</v>
      </c>
      <c r="C41" s="30">
        <v>6629</v>
      </c>
      <c r="E41">
        <v>253</v>
      </c>
      <c r="G41" s="30">
        <v>4421</v>
      </c>
      <c r="H41" s="30">
        <v>1955</v>
      </c>
      <c r="J41">
        <v>323</v>
      </c>
      <c r="K41">
        <v>12</v>
      </c>
      <c r="L41" s="30">
        <v>133247</v>
      </c>
      <c r="M41" s="30">
        <v>6490</v>
      </c>
      <c r="N41" s="30">
        <v>20531726</v>
      </c>
      <c r="O41" s="146">
        <f t="shared" si="0"/>
        <v>6.4898099653190383E-3</v>
      </c>
      <c r="Q41" s="30">
        <f t="shared" si="1"/>
        <v>37</v>
      </c>
    </row>
    <row r="42" spans="1:17" hidden="1" x14ac:dyDescent="0.25">
      <c r="A42">
        <v>124</v>
      </c>
      <c r="B42" t="s">
        <v>89</v>
      </c>
      <c r="C42" s="30">
        <v>11205</v>
      </c>
      <c r="E42">
        <v>142</v>
      </c>
      <c r="G42" s="30">
        <v>9705</v>
      </c>
      <c r="H42" s="30">
        <v>1358</v>
      </c>
      <c r="I42">
        <v>18</v>
      </c>
      <c r="J42">
        <v>990</v>
      </c>
      <c r="K42">
        <v>13</v>
      </c>
      <c r="L42" s="30">
        <v>1420514</v>
      </c>
      <c r="M42" s="30">
        <v>125452</v>
      </c>
      <c r="N42" s="30">
        <v>11323208</v>
      </c>
      <c r="O42" s="146">
        <f t="shared" si="0"/>
        <v>0.12545155047933412</v>
      </c>
      <c r="Q42" s="30">
        <f t="shared" si="1"/>
        <v>38</v>
      </c>
    </row>
    <row r="43" spans="1:17" hidden="1" x14ac:dyDescent="0.25">
      <c r="A43">
        <v>151</v>
      </c>
      <c r="B43" t="s">
        <v>186</v>
      </c>
      <c r="C43" s="30">
        <v>4948</v>
      </c>
      <c r="E43">
        <v>63</v>
      </c>
      <c r="G43" s="30">
        <v>1924</v>
      </c>
      <c r="H43" s="30">
        <v>2961</v>
      </c>
      <c r="I43">
        <v>2</v>
      </c>
      <c r="J43" s="30">
        <v>1016</v>
      </c>
      <c r="K43">
        <v>13</v>
      </c>
      <c r="L43" s="30">
        <v>32711</v>
      </c>
      <c r="M43" s="30">
        <v>6716</v>
      </c>
      <c r="N43" s="30">
        <v>4870599</v>
      </c>
      <c r="O43" s="146">
        <f t="shared" si="0"/>
        <v>6.7160117266890579E-3</v>
      </c>
      <c r="Q43" s="30">
        <f t="shared" si="1"/>
        <v>39</v>
      </c>
    </row>
    <row r="44" spans="1:17" hidden="1" x14ac:dyDescent="0.25">
      <c r="A44">
        <v>74</v>
      </c>
      <c r="B44" t="s">
        <v>83</v>
      </c>
      <c r="C44" s="30">
        <v>106690</v>
      </c>
      <c r="D44" s="30">
        <v>1594</v>
      </c>
      <c r="E44">
        <v>455</v>
      </c>
      <c r="F44">
        <v>3</v>
      </c>
      <c r="G44" s="30">
        <v>85592</v>
      </c>
      <c r="H44" s="30">
        <v>20643</v>
      </c>
      <c r="I44">
        <v>116</v>
      </c>
      <c r="J44" s="30">
        <v>3276</v>
      </c>
      <c r="K44">
        <v>14</v>
      </c>
      <c r="L44" s="30">
        <v>3271880</v>
      </c>
      <c r="M44" s="30">
        <v>100462</v>
      </c>
      <c r="N44" s="30">
        <v>32568390</v>
      </c>
      <c r="O44" s="146">
        <f t="shared" si="0"/>
        <v>0.10046182817142635</v>
      </c>
      <c r="Q44" s="30">
        <f t="shared" si="1"/>
        <v>40</v>
      </c>
    </row>
    <row r="45" spans="1:17" hidden="1" x14ac:dyDescent="0.25">
      <c r="A45">
        <v>68</v>
      </c>
      <c r="B45" t="s">
        <v>164</v>
      </c>
      <c r="C45" s="30">
        <v>123145</v>
      </c>
      <c r="D45">
        <v>281</v>
      </c>
      <c r="E45" s="30">
        <v>1912</v>
      </c>
      <c r="F45">
        <v>3</v>
      </c>
      <c r="G45" s="30">
        <v>109846</v>
      </c>
      <c r="H45" s="30">
        <v>11387</v>
      </c>
      <c r="I45">
        <v>231</v>
      </c>
      <c r="J45" s="30">
        <v>1058</v>
      </c>
      <c r="K45">
        <v>16</v>
      </c>
      <c r="L45" s="30">
        <v>1785132</v>
      </c>
      <c r="M45" s="30">
        <v>15344</v>
      </c>
      <c r="N45" s="30">
        <v>116339706</v>
      </c>
      <c r="O45" s="146">
        <f t="shared" si="0"/>
        <v>1.5344133670064458E-2</v>
      </c>
      <c r="Q45" s="30">
        <f t="shared" si="1"/>
        <v>41</v>
      </c>
    </row>
    <row r="46" spans="1:17" s="258" customFormat="1" x14ac:dyDescent="0.25">
      <c r="A46" s="258">
        <v>87</v>
      </c>
      <c r="B46" s="258" t="s">
        <v>62</v>
      </c>
      <c r="C46" s="259">
        <v>57680</v>
      </c>
      <c r="D46" s="258">
        <v>808</v>
      </c>
      <c r="E46" s="258">
        <v>819</v>
      </c>
      <c r="F46" s="258">
        <v>11</v>
      </c>
      <c r="G46" s="259">
        <v>39268</v>
      </c>
      <c r="H46" s="259">
        <v>17593</v>
      </c>
      <c r="I46" s="258">
        <v>295</v>
      </c>
      <c r="J46" s="259">
        <v>1125</v>
      </c>
      <c r="K46" s="258">
        <v>16</v>
      </c>
      <c r="L46" s="259">
        <v>4038307</v>
      </c>
      <c r="M46" s="259">
        <v>78733</v>
      </c>
      <c r="N46" s="259">
        <v>51290915</v>
      </c>
      <c r="O46" s="260">
        <f t="shared" si="0"/>
        <v>7.8733378026108525E-2</v>
      </c>
      <c r="P46" s="245" t="s">
        <v>258</v>
      </c>
      <c r="Q46" s="259">
        <f t="shared" si="1"/>
        <v>42</v>
      </c>
    </row>
    <row r="47" spans="1:17" hidden="1" x14ac:dyDescent="0.25">
      <c r="A47">
        <v>168</v>
      </c>
      <c r="B47" t="s">
        <v>121</v>
      </c>
      <c r="C47" s="30">
        <v>1779</v>
      </c>
      <c r="E47">
        <v>83</v>
      </c>
      <c r="G47" s="30">
        <v>1406</v>
      </c>
      <c r="H47">
        <v>290</v>
      </c>
      <c r="I47">
        <v>2</v>
      </c>
      <c r="J47">
        <v>348</v>
      </c>
      <c r="K47">
        <v>16</v>
      </c>
      <c r="L47" s="30">
        <v>39870</v>
      </c>
      <c r="M47" s="30">
        <v>7794</v>
      </c>
      <c r="N47" s="30">
        <v>5115188</v>
      </c>
      <c r="O47" s="146">
        <f t="shared" si="0"/>
        <v>7.7944349259499359E-3</v>
      </c>
      <c r="Q47" s="30">
        <f t="shared" si="1"/>
        <v>43</v>
      </c>
    </row>
    <row r="48" spans="1:17" hidden="1" x14ac:dyDescent="0.25">
      <c r="A48">
        <v>100</v>
      </c>
      <c r="B48" t="s">
        <v>74</v>
      </c>
      <c r="C48" s="30">
        <v>26277</v>
      </c>
      <c r="E48">
        <v>448</v>
      </c>
      <c r="G48" s="30">
        <v>24892</v>
      </c>
      <c r="H48">
        <v>937</v>
      </c>
      <c r="I48">
        <v>46</v>
      </c>
      <c r="J48">
        <v>978</v>
      </c>
      <c r="K48">
        <v>17</v>
      </c>
      <c r="L48" s="30">
        <v>149000</v>
      </c>
      <c r="M48" s="30">
        <v>5546</v>
      </c>
      <c r="N48" s="30">
        <v>26865152</v>
      </c>
      <c r="O48" s="146">
        <f t="shared" si="0"/>
        <v>5.546218387299651E-3</v>
      </c>
      <c r="Q48" s="30">
        <f t="shared" si="1"/>
        <v>44</v>
      </c>
    </row>
    <row r="49" spans="1:17" hidden="1" x14ac:dyDescent="0.25">
      <c r="A49">
        <v>114</v>
      </c>
      <c r="B49" t="s">
        <v>195</v>
      </c>
      <c r="C49" s="30">
        <v>14025</v>
      </c>
      <c r="E49">
        <v>40</v>
      </c>
      <c r="G49" s="30">
        <v>11627</v>
      </c>
      <c r="H49" s="30">
        <v>2358</v>
      </c>
      <c r="I49">
        <v>1</v>
      </c>
      <c r="J49" s="30">
        <v>5906</v>
      </c>
      <c r="K49">
        <v>17</v>
      </c>
      <c r="L49" s="30">
        <v>523759</v>
      </c>
      <c r="M49" s="30">
        <v>220562</v>
      </c>
      <c r="N49" s="30">
        <v>2374661</v>
      </c>
      <c r="O49" s="146">
        <f t="shared" si="0"/>
        <v>0.22056158752765131</v>
      </c>
      <c r="Q49" s="30">
        <f t="shared" si="1"/>
        <v>45</v>
      </c>
    </row>
    <row r="50" spans="1:17" hidden="1" x14ac:dyDescent="0.25">
      <c r="A50">
        <v>85</v>
      </c>
      <c r="B50" t="s">
        <v>135</v>
      </c>
      <c r="C50" s="30">
        <v>76832</v>
      </c>
      <c r="D50">
        <v>81</v>
      </c>
      <c r="E50">
        <v>613</v>
      </c>
      <c r="G50" s="30">
        <v>74439</v>
      </c>
      <c r="H50" s="30">
        <v>1780</v>
      </c>
      <c r="I50">
        <v>168</v>
      </c>
      <c r="J50" s="30">
        <v>2280</v>
      </c>
      <c r="K50">
        <v>18</v>
      </c>
      <c r="L50" s="30">
        <v>1377915</v>
      </c>
      <c r="M50" s="30">
        <v>40881</v>
      </c>
      <c r="N50" s="30">
        <v>33705621</v>
      </c>
      <c r="O50" s="146">
        <f t="shared" si="0"/>
        <v>4.0880866725463982E-2</v>
      </c>
      <c r="Q50" s="30">
        <f t="shared" si="1"/>
        <v>46</v>
      </c>
    </row>
    <row r="51" spans="1:17" s="258" customFormat="1" x14ac:dyDescent="0.25">
      <c r="A51" s="258">
        <v>130</v>
      </c>
      <c r="B51" s="258" t="s">
        <v>168</v>
      </c>
      <c r="C51" s="259">
        <v>8672</v>
      </c>
      <c r="D51" s="258">
        <v>61</v>
      </c>
      <c r="E51" s="258">
        <v>139</v>
      </c>
      <c r="F51" s="258">
        <v>2</v>
      </c>
      <c r="G51" s="259">
        <v>7526</v>
      </c>
      <c r="H51" s="259">
        <v>1007</v>
      </c>
      <c r="I51" s="258">
        <v>51</v>
      </c>
      <c r="J51" s="259">
        <v>1152</v>
      </c>
      <c r="K51" s="258">
        <v>18</v>
      </c>
      <c r="L51" s="259">
        <v>4943667</v>
      </c>
      <c r="M51" s="259">
        <v>656811</v>
      </c>
      <c r="N51" s="259">
        <v>7526775</v>
      </c>
      <c r="O51" s="260">
        <f t="shared" si="0"/>
        <v>0.65681078549578009</v>
      </c>
      <c r="P51" s="245" t="s">
        <v>258</v>
      </c>
      <c r="Q51" s="259">
        <f t="shared" si="1"/>
        <v>47</v>
      </c>
    </row>
    <row r="52" spans="1:17" hidden="1" x14ac:dyDescent="0.25">
      <c r="A52">
        <v>137</v>
      </c>
      <c r="B52" t="s">
        <v>132</v>
      </c>
      <c r="C52" s="30">
        <v>6908</v>
      </c>
      <c r="E52">
        <v>107</v>
      </c>
      <c r="G52" s="30">
        <v>5831</v>
      </c>
      <c r="H52">
        <v>970</v>
      </c>
      <c r="J52" s="30">
        <v>1237</v>
      </c>
      <c r="K52">
        <v>19</v>
      </c>
      <c r="L52" s="30">
        <v>70252</v>
      </c>
      <c r="M52" s="30">
        <v>12582</v>
      </c>
      <c r="N52" s="30">
        <v>5583731</v>
      </c>
      <c r="O52" s="146">
        <f t="shared" si="0"/>
        <v>1.2581551654261282E-2</v>
      </c>
      <c r="Q52" s="30">
        <f t="shared" si="1"/>
        <v>48</v>
      </c>
    </row>
    <row r="53" spans="1:17" hidden="1" x14ac:dyDescent="0.25">
      <c r="A53">
        <v>127</v>
      </c>
      <c r="B53" t="s">
        <v>116</v>
      </c>
      <c r="C53" s="30">
        <v>9947</v>
      </c>
      <c r="E53">
        <v>235</v>
      </c>
      <c r="G53" s="30">
        <v>8563</v>
      </c>
      <c r="H53" s="30">
        <v>1149</v>
      </c>
      <c r="J53">
        <v>867</v>
      </c>
      <c r="K53">
        <v>20</v>
      </c>
      <c r="L53" s="30">
        <v>39265</v>
      </c>
      <c r="M53" s="30">
        <v>3423</v>
      </c>
      <c r="N53" s="30">
        <v>11470403</v>
      </c>
      <c r="O53" s="146">
        <f t="shared" si="0"/>
        <v>3.423157843713076E-3</v>
      </c>
      <c r="Q53" s="30">
        <f t="shared" si="1"/>
        <v>49</v>
      </c>
    </row>
    <row r="54" spans="1:17" hidden="1" x14ac:dyDescent="0.25">
      <c r="A54">
        <v>165</v>
      </c>
      <c r="B54" t="s">
        <v>103</v>
      </c>
      <c r="C54" s="30">
        <v>2096</v>
      </c>
      <c r="D54">
        <v>2</v>
      </c>
      <c r="E54">
        <v>607</v>
      </c>
      <c r="G54" s="30">
        <v>1384</v>
      </c>
      <c r="H54">
        <v>105</v>
      </c>
      <c r="I54">
        <v>23</v>
      </c>
      <c r="J54">
        <v>70</v>
      </c>
      <c r="K54">
        <v>20</v>
      </c>
      <c r="L54" s="30">
        <v>17404</v>
      </c>
      <c r="M54">
        <v>577</v>
      </c>
      <c r="N54" s="30">
        <v>30144146</v>
      </c>
      <c r="O54" s="146">
        <f t="shared" si="0"/>
        <v>5.773591993616273E-4</v>
      </c>
      <c r="Q54" s="30">
        <f t="shared" si="1"/>
        <v>50</v>
      </c>
    </row>
    <row r="55" spans="1:17" hidden="1" x14ac:dyDescent="0.25">
      <c r="A55">
        <v>105</v>
      </c>
      <c r="B55" t="s">
        <v>161</v>
      </c>
      <c r="C55" s="30">
        <v>19943</v>
      </c>
      <c r="D55">
        <v>109</v>
      </c>
      <c r="E55">
        <v>384</v>
      </c>
      <c r="F55">
        <v>1</v>
      </c>
      <c r="G55" s="30">
        <v>18296</v>
      </c>
      <c r="H55" s="30">
        <v>1263</v>
      </c>
      <c r="J55" s="30">
        <v>1070</v>
      </c>
      <c r="K55">
        <v>21</v>
      </c>
      <c r="L55" s="30">
        <v>571271</v>
      </c>
      <c r="M55" s="30">
        <v>30661</v>
      </c>
      <c r="N55" s="30">
        <v>18632067</v>
      </c>
      <c r="O55" s="146">
        <f t="shared" si="0"/>
        <v>3.0660634700379726E-2</v>
      </c>
      <c r="Q55" s="30">
        <f t="shared" si="1"/>
        <v>51</v>
      </c>
    </row>
    <row r="56" spans="1:17" hidden="1" x14ac:dyDescent="0.25">
      <c r="A56">
        <v>107</v>
      </c>
      <c r="B56" t="s">
        <v>111</v>
      </c>
      <c r="C56" s="30">
        <v>18728</v>
      </c>
      <c r="D56">
        <v>119</v>
      </c>
      <c r="E56">
        <v>390</v>
      </c>
      <c r="F56">
        <v>2</v>
      </c>
      <c r="G56" s="30">
        <v>17031</v>
      </c>
      <c r="H56" s="30">
        <v>1307</v>
      </c>
      <c r="I56">
        <v>35</v>
      </c>
      <c r="J56" s="30">
        <v>1104</v>
      </c>
      <c r="K56">
        <v>23</v>
      </c>
      <c r="L56" s="30">
        <v>265840</v>
      </c>
      <c r="M56" s="30">
        <v>15677</v>
      </c>
      <c r="N56" s="30">
        <v>16956865</v>
      </c>
      <c r="O56" s="146">
        <f t="shared" si="0"/>
        <v>1.567742622235891E-2</v>
      </c>
      <c r="Q56" s="30">
        <f t="shared" si="1"/>
        <v>52</v>
      </c>
    </row>
    <row r="57" spans="1:17" hidden="1" x14ac:dyDescent="0.25">
      <c r="A57">
        <v>119</v>
      </c>
      <c r="B57" t="s">
        <v>175</v>
      </c>
      <c r="C57" s="30">
        <v>13077</v>
      </c>
      <c r="E57">
        <v>349</v>
      </c>
      <c r="G57" s="30">
        <v>10593</v>
      </c>
      <c r="H57" s="30">
        <v>2135</v>
      </c>
      <c r="J57">
        <v>874</v>
      </c>
      <c r="K57">
        <v>23</v>
      </c>
      <c r="L57" s="30">
        <v>197887</v>
      </c>
      <c r="M57" s="30">
        <v>13220</v>
      </c>
      <c r="N57" s="30">
        <v>14968374</v>
      </c>
      <c r="O57" s="146">
        <f t="shared" si="0"/>
        <v>1.3220340432434412E-2</v>
      </c>
      <c r="Q57" s="30">
        <f t="shared" si="1"/>
        <v>53</v>
      </c>
    </row>
    <row r="58" spans="1:17" hidden="1" x14ac:dyDescent="0.25">
      <c r="A58">
        <v>162</v>
      </c>
      <c r="B58" t="s">
        <v>160</v>
      </c>
      <c r="C58" s="30">
        <v>2447</v>
      </c>
      <c r="E58">
        <v>45</v>
      </c>
      <c r="G58" s="30">
        <v>2386</v>
      </c>
      <c r="H58">
        <v>16</v>
      </c>
      <c r="I58">
        <v>5</v>
      </c>
      <c r="J58" s="30">
        <v>1229</v>
      </c>
      <c r="K58">
        <v>23</v>
      </c>
      <c r="L58" s="30">
        <v>35644</v>
      </c>
      <c r="M58" s="30">
        <v>17907</v>
      </c>
      <c r="N58" s="30">
        <v>1990500</v>
      </c>
      <c r="O58" s="146">
        <f t="shared" si="0"/>
        <v>1.7907058528008037E-2</v>
      </c>
      <c r="Q58" s="30">
        <f t="shared" si="1"/>
        <v>54</v>
      </c>
    </row>
    <row r="59" spans="1:17" hidden="1" x14ac:dyDescent="0.25">
      <c r="A59">
        <v>160</v>
      </c>
      <c r="B59" t="s">
        <v>232</v>
      </c>
      <c r="C59" s="30">
        <v>2956</v>
      </c>
      <c r="D59">
        <v>231</v>
      </c>
      <c r="E59">
        <v>51</v>
      </c>
      <c r="G59" s="30">
        <v>1466</v>
      </c>
      <c r="H59" s="30">
        <v>1439</v>
      </c>
      <c r="J59" s="30">
        <v>1375</v>
      </c>
      <c r="K59">
        <v>24</v>
      </c>
      <c r="L59" s="30">
        <v>32045</v>
      </c>
      <c r="M59" s="30">
        <v>14901</v>
      </c>
      <c r="N59" s="30">
        <v>2150569</v>
      </c>
      <c r="O59" s="146">
        <f t="shared" si="0"/>
        <v>1.4900707673178587E-2</v>
      </c>
      <c r="Q59" s="30">
        <f t="shared" si="1"/>
        <v>55</v>
      </c>
    </row>
    <row r="60" spans="1:17" hidden="1" x14ac:dyDescent="0.25">
      <c r="A60">
        <v>190</v>
      </c>
      <c r="B60" t="s">
        <v>163</v>
      </c>
      <c r="C60">
        <v>362</v>
      </c>
      <c r="D60">
        <v>6</v>
      </c>
      <c r="E60">
        <v>7</v>
      </c>
      <c r="G60">
        <v>305</v>
      </c>
      <c r="H60">
        <v>50</v>
      </c>
      <c r="I60">
        <v>1</v>
      </c>
      <c r="J60" s="30">
        <v>1259</v>
      </c>
      <c r="K60">
        <v>24</v>
      </c>
      <c r="L60" s="30">
        <v>66649</v>
      </c>
      <c r="M60" s="30">
        <v>231784</v>
      </c>
      <c r="N60" s="30">
        <v>287548</v>
      </c>
      <c r="O60" s="146">
        <f t="shared" si="0"/>
        <v>0.23178391086009989</v>
      </c>
      <c r="Q60" s="30">
        <f t="shared" si="1"/>
        <v>56</v>
      </c>
    </row>
    <row r="61" spans="1:17" hidden="1" x14ac:dyDescent="0.25">
      <c r="A61">
        <v>144</v>
      </c>
      <c r="B61" t="s">
        <v>113</v>
      </c>
      <c r="C61" s="30">
        <v>5991</v>
      </c>
      <c r="E61">
        <v>164</v>
      </c>
      <c r="G61" s="30">
        <v>4225</v>
      </c>
      <c r="H61" s="30">
        <v>1602</v>
      </c>
      <c r="J61">
        <v>899</v>
      </c>
      <c r="K61">
        <v>25</v>
      </c>
      <c r="N61" s="30">
        <v>6663049</v>
      </c>
      <c r="O61" s="146">
        <f t="shared" si="0"/>
        <v>0</v>
      </c>
      <c r="Q61" s="30">
        <f t="shared" si="1"/>
        <v>57</v>
      </c>
    </row>
    <row r="62" spans="1:17" s="258" customFormat="1" x14ac:dyDescent="0.25">
      <c r="A62" s="258">
        <v>43</v>
      </c>
      <c r="B62" s="261" t="s">
        <v>43</v>
      </c>
      <c r="C62" s="259">
        <v>220236</v>
      </c>
      <c r="D62" s="259">
        <v>2924</v>
      </c>
      <c r="E62" s="259">
        <v>3252</v>
      </c>
      <c r="F62" s="258">
        <v>39</v>
      </c>
      <c r="G62" s="259">
        <v>184662</v>
      </c>
      <c r="H62" s="259">
        <v>32322</v>
      </c>
      <c r="I62" s="258">
        <v>661</v>
      </c>
      <c r="J62" s="259">
        <v>1744</v>
      </c>
      <c r="K62" s="258">
        <v>26</v>
      </c>
      <c r="L62" s="259">
        <v>4725966</v>
      </c>
      <c r="M62" s="259">
        <v>37423</v>
      </c>
      <c r="N62" s="259">
        <v>126285250</v>
      </c>
      <c r="O62" s="260">
        <f t="shared" si="0"/>
        <v>3.7422945276665329E-2</v>
      </c>
      <c r="P62" s="245" t="s">
        <v>258</v>
      </c>
      <c r="Q62" s="259">
        <f t="shared" si="1"/>
        <v>58</v>
      </c>
    </row>
    <row r="63" spans="1:17" hidden="1" x14ac:dyDescent="0.25">
      <c r="A63">
        <v>192</v>
      </c>
      <c r="B63" t="s">
        <v>220</v>
      </c>
      <c r="C63">
        <v>305</v>
      </c>
      <c r="E63">
        <v>5</v>
      </c>
      <c r="G63">
        <v>267</v>
      </c>
      <c r="H63">
        <v>33</v>
      </c>
      <c r="J63" s="30">
        <v>1657</v>
      </c>
      <c r="K63">
        <v>27</v>
      </c>
      <c r="L63" s="30">
        <v>18999</v>
      </c>
      <c r="M63" s="30">
        <v>103234</v>
      </c>
      <c r="N63" s="30">
        <v>184039</v>
      </c>
      <c r="O63" s="146">
        <f t="shared" si="0"/>
        <v>0.10323355375762745</v>
      </c>
      <c r="Q63" s="30">
        <f t="shared" si="1"/>
        <v>59</v>
      </c>
    </row>
    <row r="64" spans="1:17" hidden="1" x14ac:dyDescent="0.25">
      <c r="A64">
        <v>128</v>
      </c>
      <c r="B64" t="s">
        <v>137</v>
      </c>
      <c r="C64" s="30">
        <v>9497</v>
      </c>
      <c r="E64">
        <v>64</v>
      </c>
      <c r="G64" s="30">
        <v>9331</v>
      </c>
      <c r="H64">
        <v>102</v>
      </c>
      <c r="I64">
        <v>3</v>
      </c>
      <c r="J64" s="30">
        <v>4219</v>
      </c>
      <c r="K64">
        <v>28</v>
      </c>
      <c r="L64" s="30">
        <v>361879</v>
      </c>
      <c r="M64" s="30">
        <v>160754</v>
      </c>
      <c r="N64" s="30">
        <v>2251139</v>
      </c>
      <c r="O64" s="146">
        <f t="shared" si="0"/>
        <v>0.16075373399865578</v>
      </c>
      <c r="Q64" s="30">
        <f t="shared" si="1"/>
        <v>60</v>
      </c>
    </row>
    <row r="65" spans="1:17" hidden="1" x14ac:dyDescent="0.25">
      <c r="A65">
        <v>191</v>
      </c>
      <c r="B65" t="s">
        <v>191</v>
      </c>
      <c r="C65">
        <v>318</v>
      </c>
      <c r="E65">
        <v>2</v>
      </c>
      <c r="G65">
        <v>290</v>
      </c>
      <c r="H65">
        <v>26</v>
      </c>
      <c r="I65">
        <v>1</v>
      </c>
      <c r="J65" s="30">
        <v>4811</v>
      </c>
      <c r="K65">
        <v>30</v>
      </c>
      <c r="L65" s="30">
        <v>59339</v>
      </c>
      <c r="M65" s="30">
        <v>897729</v>
      </c>
      <c r="N65" s="30">
        <v>66099</v>
      </c>
      <c r="O65" s="146">
        <f t="shared" si="0"/>
        <v>0.89772916383001256</v>
      </c>
      <c r="Q65" s="30">
        <f t="shared" si="1"/>
        <v>61</v>
      </c>
    </row>
    <row r="66" spans="1:17" hidden="1" x14ac:dyDescent="0.25">
      <c r="A66">
        <v>78</v>
      </c>
      <c r="B66" t="s">
        <v>100</v>
      </c>
      <c r="C66" s="30">
        <v>95992</v>
      </c>
      <c r="D66">
        <v>69</v>
      </c>
      <c r="E66" s="30">
        <v>1664</v>
      </c>
      <c r="F66">
        <v>6</v>
      </c>
      <c r="G66" s="30">
        <v>77521</v>
      </c>
      <c r="H66" s="30">
        <v>16807</v>
      </c>
      <c r="I66">
        <v>34</v>
      </c>
      <c r="J66" s="30">
        <v>1766</v>
      </c>
      <c r="K66">
        <v>31</v>
      </c>
      <c r="L66" s="30">
        <v>1035309</v>
      </c>
      <c r="M66" s="30">
        <v>19051</v>
      </c>
      <c r="N66" s="30">
        <v>54345001</v>
      </c>
      <c r="O66" s="146">
        <f t="shared" si="0"/>
        <v>1.9050675884613563E-2</v>
      </c>
      <c r="Q66" s="30">
        <f t="shared" si="1"/>
        <v>62</v>
      </c>
    </row>
    <row r="67" spans="1:17" hidden="1" x14ac:dyDescent="0.25">
      <c r="A67">
        <v>102</v>
      </c>
      <c r="B67" t="s">
        <v>78</v>
      </c>
      <c r="C67" s="30">
        <v>23316</v>
      </c>
      <c r="E67" s="30">
        <v>1468</v>
      </c>
      <c r="G67" s="30">
        <v>13524</v>
      </c>
      <c r="H67" s="30">
        <v>8324</v>
      </c>
      <c r="J67">
        <v>526</v>
      </c>
      <c r="K67">
        <v>33</v>
      </c>
      <c r="N67" s="30">
        <v>44344609</v>
      </c>
      <c r="O67" s="146">
        <f t="shared" si="0"/>
        <v>0</v>
      </c>
      <c r="Q67" s="30">
        <f t="shared" si="1"/>
        <v>63</v>
      </c>
    </row>
    <row r="68" spans="1:17" hidden="1" x14ac:dyDescent="0.25">
      <c r="A68">
        <v>201</v>
      </c>
      <c r="B68" t="s">
        <v>202</v>
      </c>
      <c r="C68">
        <v>86</v>
      </c>
      <c r="E68">
        <v>1</v>
      </c>
      <c r="G68">
        <v>74</v>
      </c>
      <c r="H68">
        <v>11</v>
      </c>
      <c r="J68" s="30">
        <v>2835</v>
      </c>
      <c r="K68">
        <v>33</v>
      </c>
      <c r="L68" s="30">
        <v>10483</v>
      </c>
      <c r="M68" s="30">
        <v>345631</v>
      </c>
      <c r="N68" s="30">
        <v>30330</v>
      </c>
      <c r="O68" s="146">
        <f t="shared" si="0"/>
        <v>0.34563138806462251</v>
      </c>
      <c r="Q68" s="30">
        <f t="shared" si="1"/>
        <v>64</v>
      </c>
    </row>
    <row r="69" spans="1:17" s="258" customFormat="1" x14ac:dyDescent="0.25">
      <c r="A69" s="258">
        <v>99</v>
      </c>
      <c r="B69" s="261" t="s">
        <v>86</v>
      </c>
      <c r="C69" s="259">
        <v>28337</v>
      </c>
      <c r="D69" s="258">
        <v>25</v>
      </c>
      <c r="E69" s="258">
        <v>909</v>
      </c>
      <c r="F69" s="258">
        <v>1</v>
      </c>
      <c r="G69" s="259">
        <v>25733</v>
      </c>
      <c r="H69" s="259">
        <v>1695</v>
      </c>
      <c r="J69" s="259">
        <v>1105</v>
      </c>
      <c r="K69" s="258">
        <v>35</v>
      </c>
      <c r="L69" s="259">
        <v>11126082</v>
      </c>
      <c r="M69" s="259">
        <v>433860</v>
      </c>
      <c r="N69" s="259">
        <v>25644423</v>
      </c>
      <c r="O69" s="260">
        <f t="shared" si="0"/>
        <v>0.43385971288962127</v>
      </c>
      <c r="P69" s="245" t="s">
        <v>258</v>
      </c>
      <c r="Q69" s="259">
        <f t="shared" si="1"/>
        <v>65</v>
      </c>
    </row>
    <row r="70" spans="1:17" hidden="1" x14ac:dyDescent="0.25">
      <c r="A70">
        <v>72</v>
      </c>
      <c r="B70" t="s">
        <v>146</v>
      </c>
      <c r="C70" s="30">
        <v>112316</v>
      </c>
      <c r="E70" s="30">
        <v>1014</v>
      </c>
      <c r="G70" s="30">
        <v>106453</v>
      </c>
      <c r="H70" s="30">
        <v>4849</v>
      </c>
      <c r="I70">
        <v>62</v>
      </c>
      <c r="J70" s="30">
        <v>3955</v>
      </c>
      <c r="K70">
        <v>36</v>
      </c>
      <c r="L70" s="30">
        <v>2404049</v>
      </c>
      <c r="M70" s="30">
        <v>84661</v>
      </c>
      <c r="N70" s="30">
        <v>28396157</v>
      </c>
      <c r="O70" s="146">
        <f t="shared" ref="O70:O133" si="2">L70/N70</f>
        <v>8.4661068749549456E-2</v>
      </c>
      <c r="Q70" s="30">
        <f t="shared" si="1"/>
        <v>66</v>
      </c>
    </row>
    <row r="71" spans="1:17" hidden="1" x14ac:dyDescent="0.25">
      <c r="A71">
        <v>125</v>
      </c>
      <c r="B71" t="s">
        <v>171</v>
      </c>
      <c r="C71" s="30">
        <v>11033</v>
      </c>
      <c r="E71">
        <v>678</v>
      </c>
      <c r="G71" s="30">
        <v>5141</v>
      </c>
      <c r="H71" s="30">
        <v>5214</v>
      </c>
      <c r="J71">
        <v>623</v>
      </c>
      <c r="K71">
        <v>38</v>
      </c>
      <c r="N71" s="30">
        <v>17706185</v>
      </c>
      <c r="O71" s="146">
        <f t="shared" si="2"/>
        <v>0</v>
      </c>
      <c r="Q71" s="30">
        <f t="shared" ref="Q71:Q134" si="3">Q70+1</f>
        <v>67</v>
      </c>
    </row>
    <row r="72" spans="1:17" hidden="1" x14ac:dyDescent="0.25">
      <c r="A72">
        <v>27</v>
      </c>
      <c r="B72" t="s">
        <v>53</v>
      </c>
      <c r="C72" s="30">
        <v>510080</v>
      </c>
      <c r="D72">
        <v>932</v>
      </c>
      <c r="E72" s="30">
        <v>7479</v>
      </c>
      <c r="F72">
        <v>27</v>
      </c>
      <c r="G72" s="30">
        <v>453318</v>
      </c>
      <c r="H72" s="30">
        <v>49283</v>
      </c>
      <c r="J72" s="30">
        <v>3082</v>
      </c>
      <c r="K72">
        <v>45</v>
      </c>
      <c r="L72" s="30">
        <v>3184527</v>
      </c>
      <c r="M72" s="30">
        <v>19243</v>
      </c>
      <c r="N72" s="30">
        <v>165491971</v>
      </c>
      <c r="O72" s="146">
        <f t="shared" si="2"/>
        <v>1.9242788521746473E-2</v>
      </c>
      <c r="Q72" s="30">
        <f t="shared" si="3"/>
        <v>68</v>
      </c>
    </row>
    <row r="73" spans="1:17" hidden="1" x14ac:dyDescent="0.25">
      <c r="A73">
        <v>28</v>
      </c>
      <c r="B73" t="s">
        <v>40</v>
      </c>
      <c r="C73" s="30">
        <v>473309</v>
      </c>
      <c r="D73" s="30">
        <v>1974</v>
      </c>
      <c r="E73" s="30">
        <v>9929</v>
      </c>
      <c r="F73">
        <v>55</v>
      </c>
      <c r="G73" s="30">
        <v>423892</v>
      </c>
      <c r="H73" s="30">
        <v>39488</v>
      </c>
      <c r="I73" s="30">
        <v>2263</v>
      </c>
      <c r="J73" s="30">
        <v>2123</v>
      </c>
      <c r="K73">
        <v>45</v>
      </c>
      <c r="L73" s="30">
        <v>6589317</v>
      </c>
      <c r="M73" s="30">
        <v>29552</v>
      </c>
      <c r="N73" s="30">
        <v>222974428</v>
      </c>
      <c r="O73" s="146">
        <f t="shared" si="2"/>
        <v>2.9551895520503364E-2</v>
      </c>
      <c r="Q73" s="30">
        <f t="shared" si="3"/>
        <v>69</v>
      </c>
    </row>
    <row r="74" spans="1:17" hidden="1" x14ac:dyDescent="0.25">
      <c r="A74">
        <v>112</v>
      </c>
      <c r="B74" t="s">
        <v>125</v>
      </c>
      <c r="C74" s="30">
        <v>16728</v>
      </c>
      <c r="E74">
        <v>158</v>
      </c>
      <c r="G74" s="30">
        <v>11366</v>
      </c>
      <c r="H74" s="30">
        <v>5204</v>
      </c>
      <c r="I74">
        <v>63</v>
      </c>
      <c r="J74" s="30">
        <v>4807</v>
      </c>
      <c r="K74">
        <v>45</v>
      </c>
      <c r="L74" s="30">
        <v>613379</v>
      </c>
      <c r="M74" s="30">
        <v>176276</v>
      </c>
      <c r="N74" s="30">
        <v>3479648</v>
      </c>
      <c r="O74" s="146">
        <f t="shared" si="2"/>
        <v>0.1762761635659699</v>
      </c>
      <c r="Q74" s="30">
        <f t="shared" si="3"/>
        <v>70</v>
      </c>
    </row>
    <row r="75" spans="1:17" hidden="1" x14ac:dyDescent="0.25">
      <c r="A75">
        <v>129</v>
      </c>
      <c r="B75" t="s">
        <v>2124</v>
      </c>
      <c r="C75" s="30">
        <v>8936</v>
      </c>
      <c r="D75">
        <v>27</v>
      </c>
      <c r="E75">
        <v>42</v>
      </c>
      <c r="G75" s="30">
        <v>8496</v>
      </c>
      <c r="H75">
        <v>398</v>
      </c>
      <c r="I75">
        <v>6</v>
      </c>
      <c r="J75" s="30">
        <v>9946</v>
      </c>
      <c r="K75">
        <v>47</v>
      </c>
      <c r="L75" s="30">
        <v>48859</v>
      </c>
      <c r="M75" s="30">
        <v>54382</v>
      </c>
      <c r="N75" s="30">
        <v>898444</v>
      </c>
      <c r="O75" s="146">
        <f t="shared" si="2"/>
        <v>5.4381797863862408E-2</v>
      </c>
      <c r="Q75" s="30">
        <f t="shared" si="3"/>
        <v>71</v>
      </c>
    </row>
    <row r="76" spans="1:17" hidden="1" x14ac:dyDescent="0.25">
      <c r="A76">
        <v>69</v>
      </c>
      <c r="B76" t="s">
        <v>166</v>
      </c>
      <c r="C76" s="30">
        <v>122534</v>
      </c>
      <c r="D76">
        <v>648</v>
      </c>
      <c r="E76" s="30">
        <v>2618</v>
      </c>
      <c r="F76">
        <v>17</v>
      </c>
      <c r="G76" s="30">
        <v>104351</v>
      </c>
      <c r="H76" s="30">
        <v>15565</v>
      </c>
      <c r="J76" s="30">
        <v>2245</v>
      </c>
      <c r="K76">
        <v>48</v>
      </c>
      <c r="L76" s="30">
        <v>1759145</v>
      </c>
      <c r="M76" s="30">
        <v>32225</v>
      </c>
      <c r="N76" s="30">
        <v>54588668</v>
      </c>
      <c r="O76" s="146">
        <f t="shared" si="2"/>
        <v>3.2225461152486812E-2</v>
      </c>
      <c r="Q76" s="30">
        <f t="shared" si="3"/>
        <v>72</v>
      </c>
    </row>
    <row r="77" spans="1:17" hidden="1" x14ac:dyDescent="0.25">
      <c r="A77">
        <v>154</v>
      </c>
      <c r="B77" t="s">
        <v>196</v>
      </c>
      <c r="C77" s="30">
        <v>3793</v>
      </c>
      <c r="E77">
        <v>123</v>
      </c>
      <c r="G77" s="30">
        <v>3660</v>
      </c>
      <c r="H77">
        <v>10</v>
      </c>
      <c r="I77">
        <v>1</v>
      </c>
      <c r="J77" s="30">
        <v>1549</v>
      </c>
      <c r="K77">
        <v>50</v>
      </c>
      <c r="L77" s="30">
        <v>28097</v>
      </c>
      <c r="M77" s="30">
        <v>11471</v>
      </c>
      <c r="N77" s="30">
        <v>2449384</v>
      </c>
      <c r="O77" s="146">
        <f t="shared" si="2"/>
        <v>1.1471047414370307E-2</v>
      </c>
      <c r="Q77" s="30">
        <f t="shared" si="3"/>
        <v>73</v>
      </c>
    </row>
    <row r="78" spans="1:17" hidden="1" x14ac:dyDescent="0.25">
      <c r="A78">
        <v>196</v>
      </c>
      <c r="B78" t="s">
        <v>181</v>
      </c>
      <c r="C78">
        <v>155</v>
      </c>
      <c r="E78">
        <v>5</v>
      </c>
      <c r="G78">
        <v>146</v>
      </c>
      <c r="H78">
        <v>4</v>
      </c>
      <c r="I78">
        <v>1</v>
      </c>
      <c r="J78" s="30">
        <v>1576</v>
      </c>
      <c r="K78">
        <v>51</v>
      </c>
      <c r="L78" s="30">
        <v>6067</v>
      </c>
      <c r="M78" s="30">
        <v>61703</v>
      </c>
      <c r="N78" s="30">
        <v>98326</v>
      </c>
      <c r="O78" s="146">
        <f t="shared" si="2"/>
        <v>6.1702906657445641E-2</v>
      </c>
      <c r="Q78" s="30">
        <f t="shared" si="3"/>
        <v>74</v>
      </c>
    </row>
    <row r="79" spans="1:17" hidden="1" x14ac:dyDescent="0.25">
      <c r="A79">
        <v>90</v>
      </c>
      <c r="B79" t="s">
        <v>70</v>
      </c>
      <c r="C79" s="30">
        <v>52147</v>
      </c>
      <c r="D79">
        <v>140</v>
      </c>
      <c r="E79" s="30">
        <v>2182</v>
      </c>
      <c r="F79">
        <v>12</v>
      </c>
      <c r="G79" s="30">
        <v>41610</v>
      </c>
      <c r="H79" s="30">
        <v>8355</v>
      </c>
      <c r="I79">
        <v>93</v>
      </c>
      <c r="J79" s="30">
        <v>1325</v>
      </c>
      <c r="K79">
        <v>55</v>
      </c>
      <c r="L79" s="30">
        <v>195416</v>
      </c>
      <c r="M79" s="30">
        <v>4966</v>
      </c>
      <c r="N79" s="30">
        <v>39352821</v>
      </c>
      <c r="O79" s="146">
        <f t="shared" si="2"/>
        <v>4.9657431166116404E-3</v>
      </c>
      <c r="Q79" s="30">
        <f t="shared" si="3"/>
        <v>75</v>
      </c>
    </row>
    <row r="80" spans="1:17" hidden="1" x14ac:dyDescent="0.25">
      <c r="A80">
        <v>150</v>
      </c>
      <c r="B80" t="s">
        <v>143</v>
      </c>
      <c r="C80" s="30">
        <v>5248</v>
      </c>
      <c r="E80">
        <v>86</v>
      </c>
      <c r="G80" s="30">
        <v>5097</v>
      </c>
      <c r="H80">
        <v>65</v>
      </c>
      <c r="J80" s="30">
        <v>3683</v>
      </c>
      <c r="K80">
        <v>60</v>
      </c>
      <c r="L80" s="30">
        <v>76126</v>
      </c>
      <c r="M80" s="30">
        <v>53418</v>
      </c>
      <c r="N80" s="30">
        <v>1425104</v>
      </c>
      <c r="O80" s="146">
        <f t="shared" si="2"/>
        <v>5.3417855819645442E-2</v>
      </c>
      <c r="Q80" s="30">
        <f t="shared" si="3"/>
        <v>76</v>
      </c>
    </row>
    <row r="81" spans="1:17" hidden="1" x14ac:dyDescent="0.25">
      <c r="A81">
        <v>147</v>
      </c>
      <c r="B81" t="s">
        <v>136</v>
      </c>
      <c r="C81" s="30">
        <v>5813</v>
      </c>
      <c r="E81">
        <v>61</v>
      </c>
      <c r="G81" s="30">
        <v>5706</v>
      </c>
      <c r="H81">
        <v>46</v>
      </c>
      <c r="J81" s="30">
        <v>5842</v>
      </c>
      <c r="K81">
        <v>61</v>
      </c>
      <c r="L81" s="30">
        <v>99288</v>
      </c>
      <c r="M81" s="30">
        <v>99787</v>
      </c>
      <c r="N81" s="30">
        <v>995002</v>
      </c>
      <c r="O81" s="146">
        <f t="shared" si="2"/>
        <v>9.9786734097016896E-2</v>
      </c>
      <c r="Q81" s="30">
        <f t="shared" si="3"/>
        <v>77</v>
      </c>
    </row>
    <row r="82" spans="1:17" hidden="1" x14ac:dyDescent="0.25">
      <c r="A82">
        <v>40</v>
      </c>
      <c r="B82" t="s">
        <v>169</v>
      </c>
      <c r="C82" s="30">
        <v>258840</v>
      </c>
      <c r="D82">
        <v>659</v>
      </c>
      <c r="E82" s="30">
        <v>1832</v>
      </c>
      <c r="F82">
        <v>7</v>
      </c>
      <c r="G82" s="30">
        <v>250581</v>
      </c>
      <c r="H82" s="30">
        <v>6427</v>
      </c>
      <c r="J82" s="30">
        <v>8807</v>
      </c>
      <c r="K82">
        <v>62</v>
      </c>
      <c r="L82" s="30">
        <v>1915232</v>
      </c>
      <c r="M82" s="30">
        <v>65163</v>
      </c>
      <c r="N82" s="30">
        <v>29391504</v>
      </c>
      <c r="O82" s="146">
        <f t="shared" si="2"/>
        <v>6.516277629072674E-2</v>
      </c>
      <c r="Q82" s="30">
        <f t="shared" si="3"/>
        <v>78</v>
      </c>
    </row>
    <row r="83" spans="1:17" hidden="1" x14ac:dyDescent="0.25">
      <c r="A83">
        <v>77</v>
      </c>
      <c r="B83" t="s">
        <v>50</v>
      </c>
      <c r="C83" s="30">
        <v>98249</v>
      </c>
      <c r="E83" s="30">
        <v>2728</v>
      </c>
      <c r="G83" s="30">
        <v>65862</v>
      </c>
      <c r="H83" s="30">
        <v>29659</v>
      </c>
      <c r="I83">
        <v>42</v>
      </c>
      <c r="J83" s="30">
        <v>2221</v>
      </c>
      <c r="K83">
        <v>62</v>
      </c>
      <c r="N83" s="30">
        <v>44235861</v>
      </c>
      <c r="O83" s="146">
        <f t="shared" si="2"/>
        <v>0</v>
      </c>
      <c r="Q83" s="30">
        <f t="shared" si="3"/>
        <v>79</v>
      </c>
    </row>
    <row r="84" spans="1:17" s="258" customFormat="1" x14ac:dyDescent="0.25">
      <c r="A84" s="258">
        <v>47</v>
      </c>
      <c r="B84" s="261" t="s">
        <v>66</v>
      </c>
      <c r="C84" s="259">
        <v>202863</v>
      </c>
      <c r="D84" s="259">
        <v>1027</v>
      </c>
      <c r="E84" s="258">
        <v>660</v>
      </c>
      <c r="F84" s="258">
        <v>3</v>
      </c>
      <c r="G84" s="259">
        <v>179925</v>
      </c>
      <c r="H84" s="259">
        <v>22278</v>
      </c>
      <c r="J84" s="259">
        <v>20391</v>
      </c>
      <c r="K84" s="258">
        <v>66</v>
      </c>
      <c r="L84" s="259">
        <v>20440219</v>
      </c>
      <c r="M84" s="259">
        <v>2054550</v>
      </c>
      <c r="N84" s="259">
        <v>9948758</v>
      </c>
      <c r="O84" s="260">
        <f t="shared" si="2"/>
        <v>2.0545498242092131</v>
      </c>
      <c r="P84" s="245" t="s">
        <v>258</v>
      </c>
      <c r="Q84" s="259">
        <f t="shared" si="3"/>
        <v>80</v>
      </c>
    </row>
    <row r="85" spans="1:17" hidden="1" x14ac:dyDescent="0.25">
      <c r="A85">
        <v>117</v>
      </c>
      <c r="B85" t="s">
        <v>142</v>
      </c>
      <c r="C85" s="30">
        <v>13642</v>
      </c>
      <c r="E85">
        <v>324</v>
      </c>
      <c r="G85" s="30">
        <v>10297</v>
      </c>
      <c r="H85" s="30">
        <v>3021</v>
      </c>
      <c r="I85">
        <v>63</v>
      </c>
      <c r="J85" s="30">
        <v>2897</v>
      </c>
      <c r="K85">
        <v>69</v>
      </c>
      <c r="L85" s="30">
        <v>123133</v>
      </c>
      <c r="M85" s="30">
        <v>26150</v>
      </c>
      <c r="N85" s="30">
        <v>4708642</v>
      </c>
      <c r="O85" s="146">
        <f t="shared" si="2"/>
        <v>2.61504272357083E-2</v>
      </c>
      <c r="Q85" s="30">
        <f t="shared" si="3"/>
        <v>81</v>
      </c>
    </row>
    <row r="86" spans="1:17" hidden="1" x14ac:dyDescent="0.25">
      <c r="A86">
        <v>64</v>
      </c>
      <c r="B86" t="s">
        <v>45</v>
      </c>
      <c r="C86" s="30">
        <v>132541</v>
      </c>
      <c r="E86" s="30">
        <v>7405</v>
      </c>
      <c r="G86" s="30">
        <v>110015</v>
      </c>
      <c r="H86" s="30">
        <v>15121</v>
      </c>
      <c r="I86">
        <v>90</v>
      </c>
      <c r="J86" s="30">
        <v>1283</v>
      </c>
      <c r="K86">
        <v>72</v>
      </c>
      <c r="L86" s="30">
        <v>1000000</v>
      </c>
      <c r="M86" s="30">
        <v>9683</v>
      </c>
      <c r="N86" s="30">
        <v>103271782</v>
      </c>
      <c r="O86" s="146">
        <f t="shared" si="2"/>
        <v>9.6831872233985473E-3</v>
      </c>
      <c r="Q86" s="30">
        <f t="shared" si="3"/>
        <v>82</v>
      </c>
    </row>
    <row r="87" spans="1:17" hidden="1" x14ac:dyDescent="0.25">
      <c r="A87">
        <v>103</v>
      </c>
      <c r="B87" t="s">
        <v>216</v>
      </c>
      <c r="C87" s="30">
        <v>22287</v>
      </c>
      <c r="D87">
        <v>364</v>
      </c>
      <c r="E87">
        <v>193</v>
      </c>
      <c r="F87">
        <v>2</v>
      </c>
      <c r="G87" s="30">
        <v>18277</v>
      </c>
      <c r="H87" s="30">
        <v>3817</v>
      </c>
      <c r="I87">
        <v>44</v>
      </c>
      <c r="J87" s="30">
        <v>8695</v>
      </c>
      <c r="K87">
        <v>75</v>
      </c>
      <c r="L87" s="30">
        <v>202460</v>
      </c>
      <c r="M87" s="30">
        <v>78985</v>
      </c>
      <c r="N87" s="30">
        <v>2563267</v>
      </c>
      <c r="O87" s="146">
        <f t="shared" si="2"/>
        <v>7.8985138887209178E-2</v>
      </c>
      <c r="Q87" s="30">
        <f t="shared" si="3"/>
        <v>83</v>
      </c>
    </row>
    <row r="88" spans="1:17" hidden="1" x14ac:dyDescent="0.25">
      <c r="A88">
        <v>178</v>
      </c>
      <c r="B88" t="s">
        <v>173</v>
      </c>
      <c r="C88">
        <v>797</v>
      </c>
      <c r="E88">
        <v>3</v>
      </c>
      <c r="G88">
        <v>673</v>
      </c>
      <c r="H88">
        <v>121</v>
      </c>
      <c r="I88">
        <v>1</v>
      </c>
      <c r="J88" s="30">
        <v>20240</v>
      </c>
      <c r="K88">
        <v>76</v>
      </c>
      <c r="L88" s="30">
        <v>51953</v>
      </c>
      <c r="M88" s="30">
        <v>1319341</v>
      </c>
      <c r="N88" s="30">
        <v>39378</v>
      </c>
      <c r="O88" s="146">
        <f t="shared" si="2"/>
        <v>1.3193407486413733</v>
      </c>
      <c r="Q88" s="30">
        <f t="shared" si="3"/>
        <v>84</v>
      </c>
    </row>
    <row r="89" spans="1:17" hidden="1" x14ac:dyDescent="0.25">
      <c r="A89">
        <v>174</v>
      </c>
      <c r="B89" t="s">
        <v>145</v>
      </c>
      <c r="C89" s="30">
        <v>1014</v>
      </c>
      <c r="E89">
        <v>17</v>
      </c>
      <c r="G89">
        <v>963</v>
      </c>
      <c r="H89">
        <v>34</v>
      </c>
      <c r="J89" s="30">
        <v>4585</v>
      </c>
      <c r="K89">
        <v>77</v>
      </c>
      <c r="L89" s="30">
        <v>7498</v>
      </c>
      <c r="M89" s="30">
        <v>33907</v>
      </c>
      <c r="N89" s="30">
        <v>221136</v>
      </c>
      <c r="O89" s="146">
        <f t="shared" si="2"/>
        <v>3.3906736126184792E-2</v>
      </c>
      <c r="Q89" s="30">
        <f t="shared" si="3"/>
        <v>85</v>
      </c>
    </row>
    <row r="90" spans="1:17" hidden="1" x14ac:dyDescent="0.25">
      <c r="A90">
        <v>20</v>
      </c>
      <c r="B90" t="s">
        <v>37</v>
      </c>
      <c r="C90" s="30">
        <v>719219</v>
      </c>
      <c r="D90" s="30">
        <v>5854</v>
      </c>
      <c r="E90" s="30">
        <v>21452</v>
      </c>
      <c r="F90">
        <v>215</v>
      </c>
      <c r="G90" s="30">
        <v>589978</v>
      </c>
      <c r="H90" s="30">
        <v>107789</v>
      </c>
      <c r="J90" s="30">
        <v>2616</v>
      </c>
      <c r="K90">
        <v>78</v>
      </c>
      <c r="L90" s="30">
        <v>7159309</v>
      </c>
      <c r="M90" s="30">
        <v>26040</v>
      </c>
      <c r="N90" s="30">
        <v>274937744</v>
      </c>
      <c r="O90" s="146">
        <f t="shared" si="2"/>
        <v>2.6039745928809251E-2</v>
      </c>
      <c r="Q90" s="30">
        <f t="shared" si="3"/>
        <v>86</v>
      </c>
    </row>
    <row r="91" spans="1:17" s="258" customFormat="1" x14ac:dyDescent="0.25">
      <c r="A91" s="258">
        <v>91</v>
      </c>
      <c r="B91" s="258" t="s">
        <v>69</v>
      </c>
      <c r="C91" s="259">
        <v>47276</v>
      </c>
      <c r="D91" s="258">
        <v>217</v>
      </c>
      <c r="E91" s="258">
        <v>429</v>
      </c>
      <c r="F91" s="258">
        <v>8</v>
      </c>
      <c r="G91" s="259">
        <v>37658</v>
      </c>
      <c r="H91" s="259">
        <v>9189</v>
      </c>
      <c r="I91" s="258">
        <v>27</v>
      </c>
      <c r="J91" s="259">
        <v>8687</v>
      </c>
      <c r="K91" s="258">
        <v>79</v>
      </c>
      <c r="L91" s="259">
        <v>2754609</v>
      </c>
      <c r="M91" s="259">
        <v>506175</v>
      </c>
      <c r="N91" s="259">
        <v>5442011</v>
      </c>
      <c r="O91" s="260">
        <f t="shared" si="2"/>
        <v>0.50617483132614027</v>
      </c>
      <c r="P91" s="245" t="s">
        <v>258</v>
      </c>
      <c r="Q91" s="259">
        <f t="shared" si="3"/>
        <v>87</v>
      </c>
    </row>
    <row r="92" spans="1:17" hidden="1" x14ac:dyDescent="0.25">
      <c r="A92">
        <v>148</v>
      </c>
      <c r="B92" t="s">
        <v>150</v>
      </c>
      <c r="C92" s="30">
        <v>5726</v>
      </c>
      <c r="D92">
        <v>43</v>
      </c>
      <c r="E92">
        <v>28</v>
      </c>
      <c r="G92" s="30">
        <v>5555</v>
      </c>
      <c r="H92">
        <v>143</v>
      </c>
      <c r="I92">
        <v>1</v>
      </c>
      <c r="J92" s="30">
        <v>16727</v>
      </c>
      <c r="K92">
        <v>82</v>
      </c>
      <c r="L92" s="30">
        <v>432347</v>
      </c>
      <c r="M92" s="30">
        <v>1262958</v>
      </c>
      <c r="N92" s="30">
        <v>342329</v>
      </c>
      <c r="O92" s="146">
        <f t="shared" si="2"/>
        <v>1.2629575642145421</v>
      </c>
      <c r="Q92" s="30">
        <f t="shared" si="3"/>
        <v>88</v>
      </c>
    </row>
    <row r="93" spans="1:17" s="258" customFormat="1" x14ac:dyDescent="0.25">
      <c r="A93" s="258">
        <v>29</v>
      </c>
      <c r="B93" s="258" t="s">
        <v>42</v>
      </c>
      <c r="C93" s="259">
        <v>470650</v>
      </c>
      <c r="D93" s="258">
        <v>766</v>
      </c>
      <c r="E93" s="259">
        <v>9124</v>
      </c>
      <c r="F93" s="258">
        <v>15</v>
      </c>
      <c r="G93" s="259">
        <v>438780</v>
      </c>
      <c r="H93" s="259">
        <v>22746</v>
      </c>
      <c r="I93" s="258">
        <v>708</v>
      </c>
      <c r="J93" s="259">
        <v>4267</v>
      </c>
      <c r="K93" s="258">
        <v>83</v>
      </c>
      <c r="L93" s="259">
        <v>6679776</v>
      </c>
      <c r="M93" s="259">
        <v>60564</v>
      </c>
      <c r="N93" s="259">
        <v>110292627</v>
      </c>
      <c r="O93" s="260">
        <f t="shared" si="2"/>
        <v>6.0564120936207277E-2</v>
      </c>
      <c r="P93" s="245" t="s">
        <v>258</v>
      </c>
      <c r="Q93" s="259">
        <f t="shared" si="3"/>
        <v>89</v>
      </c>
    </row>
    <row r="94" spans="1:17" hidden="1" x14ac:dyDescent="0.25">
      <c r="A94">
        <v>153</v>
      </c>
      <c r="B94" t="s">
        <v>2125</v>
      </c>
      <c r="C94" s="30">
        <v>4151</v>
      </c>
      <c r="D94">
        <v>7</v>
      </c>
      <c r="E94">
        <v>14</v>
      </c>
      <c r="G94" s="30">
        <v>2568</v>
      </c>
      <c r="H94" s="30">
        <v>1569</v>
      </c>
      <c r="I94">
        <v>6</v>
      </c>
      <c r="J94" s="30">
        <v>25246</v>
      </c>
      <c r="K94">
        <v>85</v>
      </c>
      <c r="L94" s="30">
        <v>33412</v>
      </c>
      <c r="M94" s="30">
        <v>203208</v>
      </c>
      <c r="N94" s="30">
        <v>164423</v>
      </c>
      <c r="O94" s="146">
        <f t="shared" si="2"/>
        <v>0.20320758044799087</v>
      </c>
      <c r="Q94" s="30">
        <f t="shared" si="3"/>
        <v>90</v>
      </c>
    </row>
    <row r="95" spans="1:17" hidden="1" x14ac:dyDescent="0.25">
      <c r="A95">
        <v>59</v>
      </c>
      <c r="B95" t="s">
        <v>118</v>
      </c>
      <c r="C95" s="30">
        <v>143062</v>
      </c>
      <c r="E95">
        <v>244</v>
      </c>
      <c r="G95" s="30">
        <v>140866</v>
      </c>
      <c r="H95" s="30">
        <v>1952</v>
      </c>
      <c r="I95">
        <v>28</v>
      </c>
      <c r="J95" s="30">
        <v>50952</v>
      </c>
      <c r="K95">
        <v>87</v>
      </c>
      <c r="L95" s="30">
        <v>1223497</v>
      </c>
      <c r="M95" s="30">
        <v>435749</v>
      </c>
      <c r="N95" s="30">
        <v>2807805</v>
      </c>
      <c r="O95" s="146">
        <f t="shared" si="2"/>
        <v>0.43574856516032989</v>
      </c>
      <c r="Q95" s="30">
        <f t="shared" si="3"/>
        <v>91</v>
      </c>
    </row>
    <row r="96" spans="1:17" hidden="1" x14ac:dyDescent="0.25">
      <c r="A96">
        <v>116</v>
      </c>
      <c r="B96" t="s">
        <v>167</v>
      </c>
      <c r="C96" s="30">
        <v>13644</v>
      </c>
      <c r="E96">
        <v>48</v>
      </c>
      <c r="G96" s="30">
        <v>13072</v>
      </c>
      <c r="H96">
        <v>524</v>
      </c>
      <c r="I96">
        <v>39</v>
      </c>
      <c r="J96" s="30">
        <v>25027</v>
      </c>
      <c r="K96">
        <v>88</v>
      </c>
      <c r="L96" s="30">
        <v>306361</v>
      </c>
      <c r="M96" s="30">
        <v>561953</v>
      </c>
      <c r="N96" s="30">
        <v>545172</v>
      </c>
      <c r="O96" s="146">
        <f t="shared" si="2"/>
        <v>0.56195292494845661</v>
      </c>
      <c r="Q96" s="30">
        <f t="shared" si="3"/>
        <v>92</v>
      </c>
    </row>
    <row r="97" spans="1:17" hidden="1" x14ac:dyDescent="0.25">
      <c r="A97">
        <v>136</v>
      </c>
      <c r="B97" t="s">
        <v>159</v>
      </c>
      <c r="C97" s="30">
        <v>7112</v>
      </c>
      <c r="E97">
        <v>125</v>
      </c>
      <c r="G97" s="30">
        <v>6551</v>
      </c>
      <c r="H97">
        <v>436</v>
      </c>
      <c r="I97">
        <v>3</v>
      </c>
      <c r="J97" s="30">
        <v>5074</v>
      </c>
      <c r="K97">
        <v>89</v>
      </c>
      <c r="L97" s="30">
        <v>70745</v>
      </c>
      <c r="M97" s="30">
        <v>50470</v>
      </c>
      <c r="N97" s="30">
        <v>1401716</v>
      </c>
      <c r="O97" s="146">
        <f t="shared" si="2"/>
        <v>5.0470280713068839E-2</v>
      </c>
      <c r="Q97" s="30">
        <f t="shared" si="3"/>
        <v>93</v>
      </c>
    </row>
    <row r="98" spans="1:17" hidden="1" x14ac:dyDescent="0.25">
      <c r="A98">
        <v>106</v>
      </c>
      <c r="B98" t="s">
        <v>130</v>
      </c>
      <c r="C98" s="30">
        <v>19657</v>
      </c>
      <c r="E98">
        <v>112</v>
      </c>
      <c r="G98" s="30">
        <v>2057</v>
      </c>
      <c r="H98" s="30">
        <v>17488</v>
      </c>
      <c r="I98">
        <v>25</v>
      </c>
      <c r="J98" s="30">
        <v>16223</v>
      </c>
      <c r="K98">
        <v>92</v>
      </c>
      <c r="L98" s="30">
        <v>697549</v>
      </c>
      <c r="M98" s="30">
        <v>575694</v>
      </c>
      <c r="N98" s="30">
        <v>1211667</v>
      </c>
      <c r="O98" s="146">
        <f t="shared" si="2"/>
        <v>0.57569365180367216</v>
      </c>
      <c r="Q98" s="30">
        <f t="shared" si="3"/>
        <v>94</v>
      </c>
    </row>
    <row r="99" spans="1:17" hidden="1" x14ac:dyDescent="0.25">
      <c r="A99">
        <v>97</v>
      </c>
      <c r="B99" t="s">
        <v>60</v>
      </c>
      <c r="C99" s="30">
        <v>35137</v>
      </c>
      <c r="D99">
        <v>160</v>
      </c>
      <c r="E99">
        <v>546</v>
      </c>
      <c r="F99">
        <v>22</v>
      </c>
      <c r="G99" s="30">
        <v>26000</v>
      </c>
      <c r="H99" s="30">
        <v>8591</v>
      </c>
      <c r="I99">
        <v>29</v>
      </c>
      <c r="J99" s="30">
        <v>6337</v>
      </c>
      <c r="K99">
        <v>98</v>
      </c>
      <c r="L99" s="30">
        <v>2401947</v>
      </c>
      <c r="M99" s="30">
        <v>433177</v>
      </c>
      <c r="N99" s="30">
        <v>5544957</v>
      </c>
      <c r="O99" s="146">
        <f t="shared" si="2"/>
        <v>0.43317684880153262</v>
      </c>
      <c r="Q99" s="30">
        <f t="shared" si="3"/>
        <v>95</v>
      </c>
    </row>
    <row r="100" spans="1:17" hidden="1" x14ac:dyDescent="0.25">
      <c r="A100">
        <v>121</v>
      </c>
      <c r="B100" t="s">
        <v>155</v>
      </c>
      <c r="C100" s="30">
        <v>12732</v>
      </c>
      <c r="D100">
        <v>9</v>
      </c>
      <c r="E100">
        <v>298</v>
      </c>
      <c r="F100">
        <v>3</v>
      </c>
      <c r="G100" s="30">
        <v>10161</v>
      </c>
      <c r="H100" s="30">
        <v>2273</v>
      </c>
      <c r="I100">
        <v>8</v>
      </c>
      <c r="J100" s="30">
        <v>4290</v>
      </c>
      <c r="K100">
        <v>100</v>
      </c>
      <c r="L100" s="30">
        <v>137179</v>
      </c>
      <c r="M100" s="30">
        <v>46227</v>
      </c>
      <c r="N100" s="30">
        <v>2967516</v>
      </c>
      <c r="O100" s="146">
        <f t="shared" si="2"/>
        <v>4.6226877967970516E-2</v>
      </c>
      <c r="Q100" s="30">
        <f t="shared" si="3"/>
        <v>96</v>
      </c>
    </row>
    <row r="101" spans="1:17" hidden="1" x14ac:dyDescent="0.25">
      <c r="A101">
        <v>194</v>
      </c>
      <c r="B101" t="s">
        <v>230</v>
      </c>
      <c r="C101">
        <v>184</v>
      </c>
      <c r="E101">
        <v>1</v>
      </c>
      <c r="G101">
        <v>172</v>
      </c>
      <c r="H101">
        <v>11</v>
      </c>
      <c r="J101" s="30">
        <v>18601</v>
      </c>
      <c r="K101">
        <v>101</v>
      </c>
      <c r="L101" s="30">
        <v>8518</v>
      </c>
      <c r="M101" s="30">
        <v>861100</v>
      </c>
      <c r="N101" s="30">
        <v>9892</v>
      </c>
      <c r="O101" s="146">
        <f t="shared" si="2"/>
        <v>0.86109987868985038</v>
      </c>
      <c r="Q101" s="30">
        <f t="shared" si="3"/>
        <v>97</v>
      </c>
    </row>
    <row r="102" spans="1:17" s="258" customFormat="1" x14ac:dyDescent="0.25">
      <c r="A102" s="258">
        <v>2</v>
      </c>
      <c r="B102" s="258" t="s">
        <v>30</v>
      </c>
      <c r="C102" s="259">
        <v>10224271</v>
      </c>
      <c r="D102" s="259">
        <v>15546</v>
      </c>
      <c r="E102" s="259">
        <v>148180</v>
      </c>
      <c r="F102" s="258">
        <v>240</v>
      </c>
      <c r="G102" s="259">
        <v>9805908</v>
      </c>
      <c r="H102" s="259">
        <v>270183</v>
      </c>
      <c r="I102" s="259">
        <v>8944</v>
      </c>
      <c r="J102" s="259">
        <v>7373</v>
      </c>
      <c r="K102" s="258">
        <v>107</v>
      </c>
      <c r="L102" s="259">
        <v>168818054</v>
      </c>
      <c r="M102" s="259">
        <v>121746</v>
      </c>
      <c r="N102" s="259">
        <v>1386641760</v>
      </c>
      <c r="O102" s="260">
        <f t="shared" si="2"/>
        <v>0.12174597568733254</v>
      </c>
      <c r="P102" s="245" t="s">
        <v>258</v>
      </c>
      <c r="Q102" s="259">
        <f t="shared" si="3"/>
        <v>98</v>
      </c>
    </row>
    <row r="103" spans="1:17" hidden="1" x14ac:dyDescent="0.25">
      <c r="A103">
        <v>143</v>
      </c>
      <c r="B103" t="s">
        <v>138</v>
      </c>
      <c r="C103" s="30">
        <v>6049</v>
      </c>
      <c r="E103">
        <v>42</v>
      </c>
      <c r="G103">
        <v>98</v>
      </c>
      <c r="H103" s="30">
        <v>5909</v>
      </c>
      <c r="I103">
        <v>6</v>
      </c>
      <c r="J103" s="30">
        <v>16125</v>
      </c>
      <c r="K103">
        <v>112</v>
      </c>
      <c r="L103" s="30">
        <v>72534</v>
      </c>
      <c r="M103" s="30">
        <v>193361</v>
      </c>
      <c r="N103" s="30">
        <v>375122</v>
      </c>
      <c r="O103" s="146">
        <f t="shared" si="2"/>
        <v>0.19336109319101519</v>
      </c>
      <c r="Q103" s="30">
        <f t="shared" si="3"/>
        <v>99</v>
      </c>
    </row>
    <row r="104" spans="1:17" hidden="1" x14ac:dyDescent="0.25">
      <c r="A104">
        <v>195</v>
      </c>
      <c r="B104" t="s">
        <v>229</v>
      </c>
      <c r="C104">
        <v>182</v>
      </c>
      <c r="E104">
        <v>3</v>
      </c>
      <c r="G104">
        <v>174</v>
      </c>
      <c r="H104">
        <v>5</v>
      </c>
      <c r="J104" s="30">
        <v>6909</v>
      </c>
      <c r="K104">
        <v>114</v>
      </c>
      <c r="L104" s="30">
        <v>4335</v>
      </c>
      <c r="M104" s="30">
        <v>164566</v>
      </c>
      <c r="N104" s="30">
        <v>26342</v>
      </c>
      <c r="O104" s="146">
        <f t="shared" si="2"/>
        <v>0.1645660921721965</v>
      </c>
      <c r="Q104" s="30">
        <f t="shared" si="3"/>
        <v>100</v>
      </c>
    </row>
    <row r="105" spans="1:17" hidden="1" x14ac:dyDescent="0.25">
      <c r="A105">
        <v>57</v>
      </c>
      <c r="B105" t="s">
        <v>109</v>
      </c>
      <c r="C105" s="30">
        <v>152460</v>
      </c>
      <c r="D105">
        <v>733</v>
      </c>
      <c r="E105" s="30">
        <v>2196</v>
      </c>
      <c r="G105" s="30">
        <v>139843</v>
      </c>
      <c r="H105" s="30">
        <v>10421</v>
      </c>
      <c r="I105">
        <v>221</v>
      </c>
      <c r="J105" s="30">
        <v>8072</v>
      </c>
      <c r="K105">
        <v>116</v>
      </c>
      <c r="L105" s="30">
        <v>5170746</v>
      </c>
      <c r="M105" s="30">
        <v>273781</v>
      </c>
      <c r="N105" s="30">
        <v>18886397</v>
      </c>
      <c r="O105" s="146">
        <f t="shared" si="2"/>
        <v>0.27378149469165558</v>
      </c>
      <c r="Q105" s="30">
        <f t="shared" si="3"/>
        <v>101</v>
      </c>
    </row>
    <row r="106" spans="1:17" hidden="1" x14ac:dyDescent="0.25">
      <c r="A106">
        <v>132</v>
      </c>
      <c r="B106" t="s">
        <v>183</v>
      </c>
      <c r="C106" s="30">
        <v>8484</v>
      </c>
      <c r="E106">
        <v>165</v>
      </c>
      <c r="G106" s="30">
        <v>7016</v>
      </c>
      <c r="H106" s="30">
        <v>1303</v>
      </c>
      <c r="I106">
        <v>67</v>
      </c>
      <c r="J106" s="30">
        <v>7276</v>
      </c>
      <c r="K106">
        <v>142</v>
      </c>
      <c r="L106" s="30">
        <v>75038</v>
      </c>
      <c r="M106" s="30">
        <v>64353</v>
      </c>
      <c r="N106" s="30">
        <v>1166038</v>
      </c>
      <c r="O106" s="146">
        <f t="shared" si="2"/>
        <v>6.4352962767937241E-2</v>
      </c>
      <c r="Q106" s="30">
        <f t="shared" si="3"/>
        <v>102</v>
      </c>
    </row>
    <row r="107" spans="1:17" hidden="1" x14ac:dyDescent="0.25">
      <c r="A107">
        <v>49</v>
      </c>
      <c r="B107" t="s">
        <v>71</v>
      </c>
      <c r="C107" s="30">
        <v>188588</v>
      </c>
      <c r="D107" s="30">
        <v>1841</v>
      </c>
      <c r="E107" s="30">
        <v>1394</v>
      </c>
      <c r="F107">
        <v>9</v>
      </c>
      <c r="G107" s="30">
        <v>167421</v>
      </c>
      <c r="H107" s="30">
        <v>19773</v>
      </c>
      <c r="J107" s="30">
        <v>19961</v>
      </c>
      <c r="K107">
        <v>148</v>
      </c>
      <c r="L107" s="30">
        <v>3933309</v>
      </c>
      <c r="M107" s="30">
        <v>416320</v>
      </c>
      <c r="N107" s="30">
        <v>9447791</v>
      </c>
      <c r="O107" s="146">
        <f t="shared" si="2"/>
        <v>0.41632049227168549</v>
      </c>
      <c r="Q107" s="30">
        <f t="shared" si="3"/>
        <v>103</v>
      </c>
    </row>
    <row r="108" spans="1:17" hidden="1" x14ac:dyDescent="0.25">
      <c r="A108">
        <v>176</v>
      </c>
      <c r="B108" t="s">
        <v>198</v>
      </c>
      <c r="C108">
        <v>849</v>
      </c>
      <c r="E108">
        <v>6</v>
      </c>
      <c r="G108">
        <v>763</v>
      </c>
      <c r="H108">
        <v>80</v>
      </c>
      <c r="I108">
        <v>2</v>
      </c>
      <c r="J108" s="30">
        <v>21785</v>
      </c>
      <c r="K108">
        <v>154</v>
      </c>
      <c r="L108" s="30">
        <v>11525</v>
      </c>
      <c r="M108" s="30">
        <v>295725</v>
      </c>
      <c r="N108" s="30">
        <v>38972</v>
      </c>
      <c r="O108" s="146">
        <f t="shared" si="2"/>
        <v>0.29572513599507338</v>
      </c>
      <c r="Q108" s="30">
        <f t="shared" si="3"/>
        <v>104</v>
      </c>
    </row>
    <row r="109" spans="1:17" hidden="1" x14ac:dyDescent="0.25">
      <c r="A109">
        <v>101</v>
      </c>
      <c r="B109" t="s">
        <v>93</v>
      </c>
      <c r="C109" s="30">
        <v>25808</v>
      </c>
      <c r="D109">
        <v>416</v>
      </c>
      <c r="E109">
        <v>213</v>
      </c>
      <c r="F109">
        <v>9</v>
      </c>
      <c r="G109" s="30">
        <v>15921</v>
      </c>
      <c r="H109" s="30">
        <v>9674</v>
      </c>
      <c r="I109">
        <v>33</v>
      </c>
      <c r="J109" s="30">
        <v>19449</v>
      </c>
      <c r="K109">
        <v>161</v>
      </c>
      <c r="L109" s="30">
        <v>616702</v>
      </c>
      <c r="M109" s="30">
        <v>464743</v>
      </c>
      <c r="N109" s="30">
        <v>1326974</v>
      </c>
      <c r="O109" s="146">
        <f t="shared" si="2"/>
        <v>0.46474309217814364</v>
      </c>
      <c r="Q109" s="30">
        <f t="shared" si="3"/>
        <v>105</v>
      </c>
    </row>
    <row r="110" spans="1:17" hidden="1" x14ac:dyDescent="0.25">
      <c r="A110">
        <v>185</v>
      </c>
      <c r="B110" t="s">
        <v>157</v>
      </c>
      <c r="C110">
        <v>581</v>
      </c>
      <c r="E110">
        <v>10</v>
      </c>
      <c r="G110">
        <v>394</v>
      </c>
      <c r="H110">
        <v>177</v>
      </c>
      <c r="I110">
        <v>4</v>
      </c>
      <c r="J110" s="30">
        <v>9346</v>
      </c>
      <c r="K110">
        <v>161</v>
      </c>
      <c r="L110" s="30">
        <v>137548</v>
      </c>
      <c r="M110" s="30">
        <v>2212663</v>
      </c>
      <c r="N110" s="30">
        <v>62164</v>
      </c>
      <c r="O110" s="146">
        <f t="shared" si="2"/>
        <v>2.2126632777813526</v>
      </c>
      <c r="Q110" s="30">
        <f t="shared" si="3"/>
        <v>106</v>
      </c>
    </row>
    <row r="111" spans="1:17" hidden="1" x14ac:dyDescent="0.25">
      <c r="A111">
        <v>35</v>
      </c>
      <c r="B111" t="s">
        <v>57</v>
      </c>
      <c r="C111" s="30">
        <v>362339</v>
      </c>
      <c r="D111">
        <v>119</v>
      </c>
      <c r="E111" s="30">
        <v>6196</v>
      </c>
      <c r="F111">
        <v>11</v>
      </c>
      <c r="G111" s="30">
        <v>353353</v>
      </c>
      <c r="H111" s="30">
        <v>2790</v>
      </c>
      <c r="I111">
        <v>393</v>
      </c>
      <c r="J111" s="30">
        <v>10330</v>
      </c>
      <c r="K111">
        <v>177</v>
      </c>
      <c r="L111" s="30">
        <v>10903029</v>
      </c>
      <c r="M111" s="30">
        <v>310823</v>
      </c>
      <c r="N111" s="30">
        <v>35077896</v>
      </c>
      <c r="O111" s="146">
        <f t="shared" si="2"/>
        <v>0.31082334584719679</v>
      </c>
      <c r="Q111" s="30">
        <f t="shared" si="3"/>
        <v>107</v>
      </c>
    </row>
    <row r="112" spans="1:17" hidden="1" x14ac:dyDescent="0.25">
      <c r="A112">
        <v>169</v>
      </c>
      <c r="B112" t="s">
        <v>207</v>
      </c>
      <c r="C112" s="30">
        <v>1706</v>
      </c>
      <c r="D112">
        <v>45</v>
      </c>
      <c r="E112">
        <v>6</v>
      </c>
      <c r="G112" s="30">
        <v>1149</v>
      </c>
      <c r="H112">
        <v>551</v>
      </c>
      <c r="I112">
        <v>1</v>
      </c>
      <c r="J112" s="30">
        <v>50644</v>
      </c>
      <c r="K112">
        <v>178</v>
      </c>
      <c r="L112" s="30">
        <v>117462</v>
      </c>
      <c r="M112" s="30">
        <v>3486968</v>
      </c>
      <c r="N112" s="30">
        <v>33686</v>
      </c>
      <c r="O112" s="146">
        <f t="shared" si="2"/>
        <v>3.4869678798313841</v>
      </c>
      <c r="Q112" s="30">
        <f t="shared" si="3"/>
        <v>108</v>
      </c>
    </row>
    <row r="113" spans="1:17" hidden="1" x14ac:dyDescent="0.25">
      <c r="A113">
        <v>31</v>
      </c>
      <c r="B113" t="s">
        <v>72</v>
      </c>
      <c r="C113" s="30">
        <v>432079</v>
      </c>
      <c r="E113" s="30">
        <v>7240</v>
      </c>
      <c r="G113" s="30">
        <v>398060</v>
      </c>
      <c r="H113" s="30">
        <v>26779</v>
      </c>
      <c r="I113">
        <v>795</v>
      </c>
      <c r="J113" s="30">
        <v>11639</v>
      </c>
      <c r="K113">
        <v>195</v>
      </c>
      <c r="L113" s="30">
        <v>4394830</v>
      </c>
      <c r="M113" s="30">
        <v>118382</v>
      </c>
      <c r="N113" s="30">
        <v>37124246</v>
      </c>
      <c r="O113" s="146">
        <f t="shared" si="2"/>
        <v>0.11838166356294481</v>
      </c>
      <c r="Q113" s="30">
        <f t="shared" si="3"/>
        <v>109</v>
      </c>
    </row>
    <row r="114" spans="1:17" hidden="1" x14ac:dyDescent="0.25">
      <c r="A114">
        <v>146</v>
      </c>
      <c r="B114" t="s">
        <v>129</v>
      </c>
      <c r="C114" s="30">
        <v>5890</v>
      </c>
      <c r="D114">
        <v>123</v>
      </c>
      <c r="E114">
        <v>55</v>
      </c>
      <c r="F114">
        <v>1</v>
      </c>
      <c r="G114" s="30">
        <v>2964</v>
      </c>
      <c r="H114" s="30">
        <v>2871</v>
      </c>
      <c r="I114">
        <v>4</v>
      </c>
      <c r="J114" s="30">
        <v>21341</v>
      </c>
      <c r="K114">
        <v>199</v>
      </c>
      <c r="L114" s="30">
        <v>36103</v>
      </c>
      <c r="M114" s="30">
        <v>130809</v>
      </c>
      <c r="N114" s="30">
        <v>275998</v>
      </c>
      <c r="O114" s="146">
        <f t="shared" si="2"/>
        <v>0.13080891890520946</v>
      </c>
      <c r="Q114" s="30">
        <f t="shared" si="3"/>
        <v>110</v>
      </c>
    </row>
    <row r="115" spans="1:17" hidden="1" x14ac:dyDescent="0.25">
      <c r="A115">
        <v>123</v>
      </c>
      <c r="B115" t="s">
        <v>170</v>
      </c>
      <c r="C115" s="30">
        <v>11714</v>
      </c>
      <c r="E115">
        <v>112</v>
      </c>
      <c r="G115" s="30">
        <v>11447</v>
      </c>
      <c r="H115">
        <v>155</v>
      </c>
      <c r="I115">
        <v>23</v>
      </c>
      <c r="J115" s="30">
        <v>20958</v>
      </c>
      <c r="K115">
        <v>200</v>
      </c>
      <c r="L115" s="30">
        <v>107817</v>
      </c>
      <c r="M115" s="30">
        <v>192896</v>
      </c>
      <c r="N115" s="30">
        <v>558939</v>
      </c>
      <c r="O115" s="146">
        <f t="shared" si="2"/>
        <v>0.19289582584146034</v>
      </c>
      <c r="Q115" s="30">
        <f t="shared" si="3"/>
        <v>111</v>
      </c>
    </row>
    <row r="116" spans="1:17" hidden="1" x14ac:dyDescent="0.25">
      <c r="A116">
        <v>213</v>
      </c>
      <c r="B116" t="s">
        <v>199</v>
      </c>
      <c r="C116">
        <v>13</v>
      </c>
      <c r="E116">
        <v>1</v>
      </c>
      <c r="G116">
        <v>12</v>
      </c>
      <c r="H116">
        <v>0</v>
      </c>
      <c r="J116" s="30">
        <v>2604</v>
      </c>
      <c r="K116">
        <v>200</v>
      </c>
      <c r="L116">
        <v>626</v>
      </c>
      <c r="M116" s="30">
        <v>125376</v>
      </c>
      <c r="N116" s="30">
        <v>4993</v>
      </c>
      <c r="O116" s="146">
        <f t="shared" si="2"/>
        <v>0.12537552573603045</v>
      </c>
      <c r="Q116" s="30">
        <f t="shared" si="3"/>
        <v>112</v>
      </c>
    </row>
    <row r="117" spans="1:17" hidden="1" x14ac:dyDescent="0.25">
      <c r="A117">
        <v>94</v>
      </c>
      <c r="B117" t="s">
        <v>112</v>
      </c>
      <c r="C117" s="30">
        <v>44619</v>
      </c>
      <c r="E117" s="30">
        <v>1313</v>
      </c>
      <c r="F117">
        <v>8</v>
      </c>
      <c r="G117" s="30">
        <v>39989</v>
      </c>
      <c r="H117" s="30">
        <v>3317</v>
      </c>
      <c r="I117">
        <v>73</v>
      </c>
      <c r="J117" s="30">
        <v>6862</v>
      </c>
      <c r="K117">
        <v>202</v>
      </c>
      <c r="L117" s="30">
        <v>609398</v>
      </c>
      <c r="M117" s="30">
        <v>93721</v>
      </c>
      <c r="N117" s="30">
        <v>6502274</v>
      </c>
      <c r="O117" s="146">
        <f t="shared" si="2"/>
        <v>9.3720750617399387E-2</v>
      </c>
      <c r="Q117" s="30">
        <f t="shared" si="3"/>
        <v>113</v>
      </c>
    </row>
    <row r="118" spans="1:17" hidden="1" x14ac:dyDescent="0.25">
      <c r="A118">
        <v>145</v>
      </c>
      <c r="B118" t="s">
        <v>200</v>
      </c>
      <c r="C118" s="30">
        <v>5978</v>
      </c>
      <c r="E118">
        <v>119</v>
      </c>
      <c r="G118" s="30">
        <v>5479</v>
      </c>
      <c r="H118">
        <v>380</v>
      </c>
      <c r="I118">
        <v>8</v>
      </c>
      <c r="J118" s="30">
        <v>10146</v>
      </c>
      <c r="K118">
        <v>202</v>
      </c>
      <c r="L118" s="30">
        <v>25559</v>
      </c>
      <c r="M118" s="30">
        <v>43379</v>
      </c>
      <c r="N118" s="30">
        <v>589205</v>
      </c>
      <c r="O118" s="146">
        <f t="shared" si="2"/>
        <v>4.3378790064578544E-2</v>
      </c>
      <c r="Q118" s="30">
        <f t="shared" si="3"/>
        <v>114</v>
      </c>
    </row>
    <row r="119" spans="1:17" hidden="1" x14ac:dyDescent="0.25">
      <c r="A119">
        <v>79</v>
      </c>
      <c r="B119" t="s">
        <v>134</v>
      </c>
      <c r="C119" s="30">
        <v>91733</v>
      </c>
      <c r="E119">
        <v>351</v>
      </c>
      <c r="G119" s="30">
        <v>89456</v>
      </c>
      <c r="H119" s="30">
        <v>1926</v>
      </c>
      <c r="I119">
        <v>11</v>
      </c>
      <c r="J119" s="30">
        <v>53028</v>
      </c>
      <c r="K119">
        <v>203</v>
      </c>
      <c r="L119" s="30">
        <v>2326844</v>
      </c>
      <c r="M119" s="30">
        <v>1345067</v>
      </c>
      <c r="N119" s="30">
        <v>1729910</v>
      </c>
      <c r="O119" s="146">
        <f t="shared" si="2"/>
        <v>1.3450665063500413</v>
      </c>
      <c r="Q119" s="30">
        <f t="shared" si="3"/>
        <v>115</v>
      </c>
    </row>
    <row r="120" spans="1:17" hidden="1" x14ac:dyDescent="0.25">
      <c r="A120">
        <v>84</v>
      </c>
      <c r="B120" t="s">
        <v>131</v>
      </c>
      <c r="C120" s="30">
        <v>80535</v>
      </c>
      <c r="D120">
        <v>162</v>
      </c>
      <c r="E120" s="30">
        <v>1349</v>
      </c>
      <c r="F120">
        <v>1</v>
      </c>
      <c r="G120" s="30">
        <v>75057</v>
      </c>
      <c r="H120" s="30">
        <v>4129</v>
      </c>
      <c r="I120">
        <v>53</v>
      </c>
      <c r="J120" s="30">
        <v>12246</v>
      </c>
      <c r="K120">
        <v>205</v>
      </c>
      <c r="L120" s="30">
        <v>582511</v>
      </c>
      <c r="M120" s="30">
        <v>88574</v>
      </c>
      <c r="N120" s="30">
        <v>6576573</v>
      </c>
      <c r="O120" s="146">
        <f t="shared" si="2"/>
        <v>8.8573638580458247E-2</v>
      </c>
      <c r="Q120" s="30">
        <f t="shared" si="3"/>
        <v>116</v>
      </c>
    </row>
    <row r="121" spans="1:17" hidden="1" x14ac:dyDescent="0.25">
      <c r="A121">
        <v>50</v>
      </c>
      <c r="B121" t="s">
        <v>120</v>
      </c>
      <c r="C121" s="30">
        <v>172820</v>
      </c>
      <c r="D121" s="30">
        <v>1594</v>
      </c>
      <c r="E121" s="30">
        <v>1409</v>
      </c>
      <c r="F121">
        <v>15</v>
      </c>
      <c r="G121" s="30">
        <v>124234</v>
      </c>
      <c r="H121" s="30">
        <v>47177</v>
      </c>
      <c r="I121">
        <v>420</v>
      </c>
      <c r="J121" s="30">
        <v>25376</v>
      </c>
      <c r="K121">
        <v>207</v>
      </c>
      <c r="L121" s="30">
        <v>1919379</v>
      </c>
      <c r="M121" s="30">
        <v>281833</v>
      </c>
      <c r="N121" s="30">
        <v>6810335</v>
      </c>
      <c r="O121" s="146">
        <f t="shared" si="2"/>
        <v>0.28183327251889956</v>
      </c>
      <c r="Q121" s="30">
        <f t="shared" si="3"/>
        <v>117</v>
      </c>
    </row>
    <row r="122" spans="1:17" s="258" customFormat="1" x14ac:dyDescent="0.25">
      <c r="A122" s="258">
        <v>55</v>
      </c>
      <c r="B122" s="258" t="s">
        <v>51</v>
      </c>
      <c r="C122" s="259">
        <v>155826</v>
      </c>
      <c r="D122" s="259">
        <v>2479</v>
      </c>
      <c r="E122" s="259">
        <v>1204</v>
      </c>
      <c r="F122" s="258">
        <v>30</v>
      </c>
      <c r="G122" s="259">
        <v>114841</v>
      </c>
      <c r="H122" s="259">
        <v>39781</v>
      </c>
      <c r="I122" s="258">
        <v>113</v>
      </c>
      <c r="J122" s="259">
        <v>26856</v>
      </c>
      <c r="K122" s="258">
        <v>208</v>
      </c>
      <c r="L122" s="259">
        <v>10264912</v>
      </c>
      <c r="M122" s="259">
        <v>1769133</v>
      </c>
      <c r="N122" s="259">
        <v>5802228</v>
      </c>
      <c r="O122" s="260">
        <f t="shared" si="2"/>
        <v>1.7691328227708392</v>
      </c>
      <c r="P122" s="245" t="s">
        <v>258</v>
      </c>
      <c r="Q122" s="259">
        <f t="shared" si="3"/>
        <v>118</v>
      </c>
    </row>
    <row r="123" spans="1:17" hidden="1" x14ac:dyDescent="0.25">
      <c r="A123">
        <v>76</v>
      </c>
      <c r="B123" t="s">
        <v>179</v>
      </c>
      <c r="C123" s="30">
        <v>98913</v>
      </c>
      <c r="D123">
        <v>532</v>
      </c>
      <c r="E123" s="30">
        <v>1440</v>
      </c>
      <c r="F123">
        <v>4</v>
      </c>
      <c r="G123" s="30">
        <v>69763</v>
      </c>
      <c r="H123" s="30">
        <v>27710</v>
      </c>
      <c r="J123" s="30">
        <v>14300</v>
      </c>
      <c r="K123">
        <v>208</v>
      </c>
      <c r="L123" s="30">
        <v>536186</v>
      </c>
      <c r="M123" s="30">
        <v>77519</v>
      </c>
      <c r="N123" s="30">
        <v>6916866</v>
      </c>
      <c r="O123" s="146">
        <f t="shared" si="2"/>
        <v>7.7518633438901377E-2</v>
      </c>
      <c r="Q123" s="30">
        <f t="shared" si="3"/>
        <v>119</v>
      </c>
    </row>
    <row r="124" spans="1:17" hidden="1" x14ac:dyDescent="0.25">
      <c r="A124">
        <v>141</v>
      </c>
      <c r="B124" t="s">
        <v>148</v>
      </c>
      <c r="C124" s="30">
        <v>6293</v>
      </c>
      <c r="E124">
        <v>164</v>
      </c>
      <c r="G124" s="30">
        <v>5680</v>
      </c>
      <c r="H124">
        <v>449</v>
      </c>
      <c r="I124">
        <v>6</v>
      </c>
      <c r="J124" s="30">
        <v>7982</v>
      </c>
      <c r="K124">
        <v>208</v>
      </c>
      <c r="L124" s="30">
        <v>37451</v>
      </c>
      <c r="M124" s="30">
        <v>47502</v>
      </c>
      <c r="N124" s="30">
        <v>788416</v>
      </c>
      <c r="O124" s="146">
        <f t="shared" si="2"/>
        <v>4.7501572773764107E-2</v>
      </c>
      <c r="Q124" s="30">
        <f t="shared" si="3"/>
        <v>120</v>
      </c>
    </row>
    <row r="125" spans="1:17" s="258" customFormat="1" x14ac:dyDescent="0.25">
      <c r="A125" s="258">
        <v>58</v>
      </c>
      <c r="B125" s="258" t="s">
        <v>77</v>
      </c>
      <c r="C125" s="259">
        <v>149653</v>
      </c>
      <c r="E125" s="258">
        <v>931</v>
      </c>
      <c r="G125" s="259">
        <v>145579</v>
      </c>
      <c r="H125" s="259">
        <v>3143</v>
      </c>
      <c r="I125" s="258">
        <v>36</v>
      </c>
      <c r="J125" s="259">
        <v>34792</v>
      </c>
      <c r="K125" s="258">
        <v>216</v>
      </c>
      <c r="L125" s="259">
        <v>1243422</v>
      </c>
      <c r="M125" s="259">
        <v>289077</v>
      </c>
      <c r="N125" s="259">
        <v>4301347</v>
      </c>
      <c r="O125" s="260">
        <f t="shared" si="2"/>
        <v>0.28907735181560568</v>
      </c>
      <c r="P125" s="245" t="s">
        <v>258</v>
      </c>
      <c r="Q125" s="259">
        <f t="shared" si="3"/>
        <v>121</v>
      </c>
    </row>
    <row r="126" spans="1:17" hidden="1" x14ac:dyDescent="0.25">
      <c r="A126">
        <v>52</v>
      </c>
      <c r="B126" t="s">
        <v>56</v>
      </c>
      <c r="C126" s="30">
        <v>167405</v>
      </c>
      <c r="D126">
        <v>641</v>
      </c>
      <c r="E126" s="30">
        <v>2404</v>
      </c>
      <c r="G126" s="30">
        <v>129306</v>
      </c>
      <c r="H126" s="30">
        <v>35695</v>
      </c>
      <c r="I126">
        <v>233</v>
      </c>
      <c r="J126" s="30">
        <v>15357</v>
      </c>
      <c r="K126">
        <v>221</v>
      </c>
      <c r="L126" s="30">
        <v>857895</v>
      </c>
      <c r="M126" s="30">
        <v>78698</v>
      </c>
      <c r="N126" s="30">
        <v>10901119</v>
      </c>
      <c r="O126" s="146">
        <f t="shared" si="2"/>
        <v>7.8697884134647095E-2</v>
      </c>
      <c r="Q126" s="30">
        <f t="shared" si="3"/>
        <v>122</v>
      </c>
    </row>
    <row r="127" spans="1:17" s="254" customFormat="1" x14ac:dyDescent="0.25">
      <c r="A127" s="254">
        <v>0</v>
      </c>
      <c r="B127" s="254" t="s">
        <v>15</v>
      </c>
      <c r="C127" s="255">
        <v>81370893</v>
      </c>
      <c r="D127" s="255">
        <v>237043</v>
      </c>
      <c r="E127" s="255">
        <v>1776284</v>
      </c>
      <c r="F127" s="255">
        <v>4761</v>
      </c>
      <c r="G127" s="255">
        <v>57484045</v>
      </c>
      <c r="H127" s="255">
        <v>22110564</v>
      </c>
      <c r="I127" s="255">
        <v>105289</v>
      </c>
      <c r="J127" s="255">
        <v>10439</v>
      </c>
      <c r="K127" s="254">
        <v>227.9</v>
      </c>
      <c r="O127" s="256"/>
      <c r="P127" s="236" t="s">
        <v>2297</v>
      </c>
      <c r="Q127" s="255"/>
    </row>
    <row r="128" spans="1:17" hidden="1" x14ac:dyDescent="0.25">
      <c r="A128">
        <v>120</v>
      </c>
      <c r="B128" t="s">
        <v>188</v>
      </c>
      <c r="C128" s="30">
        <v>12832</v>
      </c>
      <c r="D128">
        <v>53</v>
      </c>
      <c r="E128">
        <v>71</v>
      </c>
      <c r="G128" s="30">
        <v>9995</v>
      </c>
      <c r="H128" s="30">
        <v>2766</v>
      </c>
      <c r="I128">
        <v>6</v>
      </c>
      <c r="J128" s="30">
        <v>42431</v>
      </c>
      <c r="K128">
        <v>235</v>
      </c>
      <c r="L128" s="30">
        <v>101816</v>
      </c>
      <c r="M128" s="30">
        <v>336672</v>
      </c>
      <c r="N128" s="30">
        <v>302419</v>
      </c>
      <c r="O128" s="146">
        <f t="shared" si="2"/>
        <v>0.33667196836177621</v>
      </c>
      <c r="Q128" s="30">
        <f t="shared" si="3"/>
        <v>1</v>
      </c>
    </row>
    <row r="129" spans="1:17" s="254" customFormat="1" x14ac:dyDescent="0.25">
      <c r="A129" s="254">
        <v>7</v>
      </c>
      <c r="B129" s="254" t="s">
        <v>29</v>
      </c>
      <c r="C129" s="255">
        <v>2162775</v>
      </c>
      <c r="D129" s="255">
        <v>15197</v>
      </c>
      <c r="E129" s="255">
        <v>20135</v>
      </c>
      <c r="F129" s="254">
        <v>257</v>
      </c>
      <c r="G129" s="255">
        <v>2037433</v>
      </c>
      <c r="H129" s="255">
        <v>105207</v>
      </c>
      <c r="I129" s="255">
        <v>4251</v>
      </c>
      <c r="J129" s="255">
        <v>25510</v>
      </c>
      <c r="K129" s="254">
        <v>237</v>
      </c>
      <c r="L129" s="255">
        <v>23958818</v>
      </c>
      <c r="M129" s="255">
        <v>282591</v>
      </c>
      <c r="N129" s="255">
        <v>84782714</v>
      </c>
      <c r="O129" s="256">
        <f t="shared" si="2"/>
        <v>0.28259083567435694</v>
      </c>
      <c r="P129" s="236" t="s">
        <v>2297</v>
      </c>
      <c r="Q129" s="255">
        <f t="shared" si="3"/>
        <v>2</v>
      </c>
    </row>
    <row r="130" spans="1:17" hidden="1" x14ac:dyDescent="0.25">
      <c r="A130">
        <v>44</v>
      </c>
      <c r="B130" t="s">
        <v>99</v>
      </c>
      <c r="C130" s="30">
        <v>215483</v>
      </c>
      <c r="D130">
        <v>772</v>
      </c>
      <c r="E130" s="30">
        <v>2538</v>
      </c>
      <c r="F130">
        <v>39</v>
      </c>
      <c r="G130" s="30">
        <v>172019</v>
      </c>
      <c r="H130" s="30">
        <v>40926</v>
      </c>
      <c r="J130" s="30">
        <v>21159</v>
      </c>
      <c r="K130">
        <v>249</v>
      </c>
      <c r="L130" s="30">
        <v>2163064</v>
      </c>
      <c r="M130" s="30">
        <v>212400</v>
      </c>
      <c r="N130" s="30">
        <v>10183913</v>
      </c>
      <c r="O130" s="146">
        <f t="shared" si="2"/>
        <v>0.21240008629296028</v>
      </c>
      <c r="Q130" s="30">
        <f t="shared" si="3"/>
        <v>3</v>
      </c>
    </row>
    <row r="131" spans="1:17" hidden="1" x14ac:dyDescent="0.25">
      <c r="A131">
        <v>63</v>
      </c>
      <c r="B131" t="s">
        <v>176</v>
      </c>
      <c r="C131" s="30">
        <v>134310</v>
      </c>
      <c r="D131" s="30">
        <v>1217</v>
      </c>
      <c r="E131" s="30">
        <v>1332</v>
      </c>
      <c r="F131">
        <v>23</v>
      </c>
      <c r="G131" s="30">
        <v>110927</v>
      </c>
      <c r="H131" s="30">
        <v>22051</v>
      </c>
      <c r="I131">
        <v>123</v>
      </c>
      <c r="J131" s="30">
        <v>26035</v>
      </c>
      <c r="K131">
        <v>258</v>
      </c>
      <c r="L131" s="30">
        <v>867643</v>
      </c>
      <c r="M131" s="30">
        <v>168187</v>
      </c>
      <c r="N131" s="30">
        <v>5158796</v>
      </c>
      <c r="O131" s="146">
        <f t="shared" si="2"/>
        <v>0.1681871118764921</v>
      </c>
      <c r="Q131" s="30">
        <f t="shared" si="3"/>
        <v>4</v>
      </c>
    </row>
    <row r="132" spans="1:17" hidden="1" x14ac:dyDescent="0.25">
      <c r="A132">
        <v>62</v>
      </c>
      <c r="B132" t="s">
        <v>97</v>
      </c>
      <c r="C132" s="30">
        <v>135441</v>
      </c>
      <c r="D132">
        <v>132</v>
      </c>
      <c r="E132" s="30">
        <v>4773</v>
      </c>
      <c r="F132">
        <v>5</v>
      </c>
      <c r="G132" s="30">
        <v>124604</v>
      </c>
      <c r="H132" s="30">
        <v>6064</v>
      </c>
      <c r="I132">
        <v>5</v>
      </c>
      <c r="J132" s="30">
        <v>7493</v>
      </c>
      <c r="K132">
        <v>264</v>
      </c>
      <c r="L132" s="30">
        <v>625162</v>
      </c>
      <c r="M132" s="30">
        <v>34584</v>
      </c>
      <c r="N132" s="30">
        <v>18076567</v>
      </c>
      <c r="O132" s="146">
        <f t="shared" si="2"/>
        <v>3.4584111020637937E-2</v>
      </c>
      <c r="Q132" s="30">
        <f t="shared" si="3"/>
        <v>5</v>
      </c>
    </row>
    <row r="133" spans="1:17" hidden="1" x14ac:dyDescent="0.25">
      <c r="A133">
        <v>67</v>
      </c>
      <c r="B133" t="s">
        <v>110</v>
      </c>
      <c r="C133" s="30">
        <v>128563</v>
      </c>
      <c r="D133">
        <v>91</v>
      </c>
      <c r="E133" s="30">
        <v>1495</v>
      </c>
      <c r="G133" s="30">
        <v>121182</v>
      </c>
      <c r="H133" s="30">
        <v>5886</v>
      </c>
      <c r="I133">
        <v>37</v>
      </c>
      <c r="J133" s="30">
        <v>24870</v>
      </c>
      <c r="K133">
        <v>289</v>
      </c>
      <c r="L133" s="30">
        <v>571472</v>
      </c>
      <c r="M133" s="30">
        <v>110550</v>
      </c>
      <c r="N133" s="30">
        <v>5169352</v>
      </c>
      <c r="O133" s="146">
        <f t="shared" si="2"/>
        <v>0.11055002638628594</v>
      </c>
      <c r="Q133" s="30">
        <f t="shared" si="3"/>
        <v>6</v>
      </c>
    </row>
    <row r="134" spans="1:17" hidden="1" x14ac:dyDescent="0.25">
      <c r="A134">
        <v>188</v>
      </c>
      <c r="B134" t="s">
        <v>122</v>
      </c>
      <c r="C134">
        <v>374</v>
      </c>
      <c r="E134">
        <v>25</v>
      </c>
      <c r="G134">
        <v>346</v>
      </c>
      <c r="H134">
        <v>3</v>
      </c>
      <c r="J134" s="30">
        <v>4387</v>
      </c>
      <c r="K134">
        <v>293</v>
      </c>
      <c r="L134" s="30">
        <v>20095</v>
      </c>
      <c r="M134" s="30">
        <v>235707</v>
      </c>
      <c r="N134" s="30">
        <v>85254</v>
      </c>
      <c r="O134" s="146">
        <f t="shared" ref="O134:O197" si="4">L134/N134</f>
        <v>0.23570741548783636</v>
      </c>
      <c r="Q134" s="30">
        <f t="shared" si="3"/>
        <v>7</v>
      </c>
    </row>
    <row r="135" spans="1:17" hidden="1" x14ac:dyDescent="0.25">
      <c r="A135">
        <v>75</v>
      </c>
      <c r="B135" t="s">
        <v>147</v>
      </c>
      <c r="C135" s="30">
        <v>104422</v>
      </c>
      <c r="E135" s="30">
        <v>2188</v>
      </c>
      <c r="G135" s="30">
        <v>78262</v>
      </c>
      <c r="H135" s="30">
        <v>23972</v>
      </c>
      <c r="I135">
        <v>163</v>
      </c>
      <c r="J135" s="30">
        <v>14553</v>
      </c>
      <c r="K135">
        <v>305</v>
      </c>
      <c r="L135" s="30">
        <v>548263</v>
      </c>
      <c r="M135" s="30">
        <v>76410</v>
      </c>
      <c r="N135" s="30">
        <v>7175316</v>
      </c>
      <c r="O135" s="146">
        <f t="shared" si="4"/>
        <v>7.6409596455403503E-2</v>
      </c>
      <c r="Q135" s="30">
        <f t="shared" ref="Q135:Q198" si="5">Q134+1</f>
        <v>8</v>
      </c>
    </row>
    <row r="136" spans="1:17" hidden="1" x14ac:dyDescent="0.25">
      <c r="A136">
        <v>70</v>
      </c>
      <c r="B136" t="s">
        <v>73</v>
      </c>
      <c r="C136" s="30">
        <v>119097</v>
      </c>
      <c r="E136" s="30">
        <v>3065</v>
      </c>
      <c r="G136" s="30">
        <v>55704</v>
      </c>
      <c r="H136" s="30">
        <v>60328</v>
      </c>
      <c r="I136">
        <v>121</v>
      </c>
      <c r="J136" s="30">
        <v>11932</v>
      </c>
      <c r="K136">
        <v>307</v>
      </c>
      <c r="L136" s="30">
        <v>300566</v>
      </c>
      <c r="M136" s="30">
        <v>30113</v>
      </c>
      <c r="N136" s="30">
        <v>9981299</v>
      </c>
      <c r="O136" s="146">
        <f t="shared" si="4"/>
        <v>3.011291416077206E-2</v>
      </c>
      <c r="Q136" s="30">
        <f t="shared" si="5"/>
        <v>9</v>
      </c>
    </row>
    <row r="137" spans="1:17" hidden="1" x14ac:dyDescent="0.25">
      <c r="A137">
        <v>96</v>
      </c>
      <c r="B137" t="s">
        <v>124</v>
      </c>
      <c r="C137" s="30">
        <v>36838</v>
      </c>
      <c r="D137">
        <v>508</v>
      </c>
      <c r="E137">
        <v>578</v>
      </c>
      <c r="F137">
        <v>19</v>
      </c>
      <c r="G137" s="30">
        <v>25533</v>
      </c>
      <c r="H137" s="30">
        <v>10727</v>
      </c>
      <c r="I137">
        <v>61</v>
      </c>
      <c r="J137" s="30">
        <v>19638</v>
      </c>
      <c r="K137">
        <v>308</v>
      </c>
      <c r="L137" s="30">
        <v>841442</v>
      </c>
      <c r="M137" s="30">
        <v>448567</v>
      </c>
      <c r="N137" s="30">
        <v>1875844</v>
      </c>
      <c r="O137" s="146">
        <f t="shared" si="4"/>
        <v>0.44856715163947536</v>
      </c>
      <c r="Q137" s="30">
        <f t="shared" si="5"/>
        <v>10</v>
      </c>
    </row>
    <row r="138" spans="1:17" hidden="1" x14ac:dyDescent="0.25">
      <c r="A138">
        <v>175</v>
      </c>
      <c r="B138" t="s">
        <v>180</v>
      </c>
      <c r="C138">
        <v>961</v>
      </c>
      <c r="E138">
        <v>12</v>
      </c>
      <c r="G138">
        <v>855</v>
      </c>
      <c r="H138">
        <v>94</v>
      </c>
      <c r="I138">
        <v>7</v>
      </c>
      <c r="J138" s="30">
        <v>24649</v>
      </c>
      <c r="K138">
        <v>308</v>
      </c>
      <c r="L138" s="30">
        <v>11186</v>
      </c>
      <c r="M138" s="30">
        <v>286916</v>
      </c>
      <c r="N138" s="30">
        <v>38987</v>
      </c>
      <c r="O138" s="146">
        <f t="shared" si="4"/>
        <v>0.28691615153769207</v>
      </c>
      <c r="Q138" s="30">
        <f t="shared" si="5"/>
        <v>11</v>
      </c>
    </row>
    <row r="139" spans="1:17" hidden="1" x14ac:dyDescent="0.25">
      <c r="A139">
        <v>25</v>
      </c>
      <c r="B139" t="s">
        <v>79</v>
      </c>
      <c r="C139" s="30">
        <v>592528</v>
      </c>
      <c r="D139">
        <v>931</v>
      </c>
      <c r="E139" s="30">
        <v>12791</v>
      </c>
      <c r="F139">
        <v>11</v>
      </c>
      <c r="G139" s="30">
        <v>533314</v>
      </c>
      <c r="H139" s="30">
        <v>46423</v>
      </c>
      <c r="I139">
        <v>169</v>
      </c>
      <c r="J139" s="30">
        <v>14573</v>
      </c>
      <c r="K139">
        <v>315</v>
      </c>
      <c r="L139" s="30">
        <v>4439601</v>
      </c>
      <c r="M139" s="30">
        <v>109190</v>
      </c>
      <c r="N139" s="30">
        <v>40659531</v>
      </c>
      <c r="O139" s="146">
        <f t="shared" si="4"/>
        <v>0.10918967560152133</v>
      </c>
      <c r="Q139" s="30">
        <f t="shared" si="5"/>
        <v>12</v>
      </c>
    </row>
    <row r="140" spans="1:17" hidden="1" x14ac:dyDescent="0.25">
      <c r="A140">
        <v>159</v>
      </c>
      <c r="B140" t="s">
        <v>106</v>
      </c>
      <c r="C140" s="30">
        <v>2960</v>
      </c>
      <c r="E140">
        <v>57</v>
      </c>
      <c r="G140" s="30">
        <v>2045</v>
      </c>
      <c r="H140">
        <v>858</v>
      </c>
      <c r="I140">
        <v>10</v>
      </c>
      <c r="J140" s="30">
        <v>16948</v>
      </c>
      <c r="K140">
        <v>326</v>
      </c>
      <c r="L140" s="30">
        <v>260341</v>
      </c>
      <c r="M140" s="30">
        <v>1490670</v>
      </c>
      <c r="N140" s="30">
        <v>174647</v>
      </c>
      <c r="O140" s="146">
        <f t="shared" si="4"/>
        <v>1.4906697509834121</v>
      </c>
      <c r="Q140" s="30">
        <f t="shared" si="5"/>
        <v>13</v>
      </c>
    </row>
    <row r="141" spans="1:17" hidden="1" x14ac:dyDescent="0.25">
      <c r="A141">
        <v>51</v>
      </c>
      <c r="B141" t="s">
        <v>119</v>
      </c>
      <c r="C141" s="30">
        <v>168092</v>
      </c>
      <c r="D141">
        <v>569</v>
      </c>
      <c r="E141" s="30">
        <v>1879</v>
      </c>
      <c r="F141">
        <v>106</v>
      </c>
      <c r="G141" s="30">
        <v>120410</v>
      </c>
      <c r="H141" s="30">
        <v>45803</v>
      </c>
      <c r="I141">
        <v>408</v>
      </c>
      <c r="J141" s="30">
        <v>30781</v>
      </c>
      <c r="K141">
        <v>344</v>
      </c>
      <c r="L141" s="30">
        <v>1386285</v>
      </c>
      <c r="M141" s="30">
        <v>253854</v>
      </c>
      <c r="N141" s="30">
        <v>5460945</v>
      </c>
      <c r="O141" s="146">
        <f t="shared" si="4"/>
        <v>0.25385441530724079</v>
      </c>
      <c r="Q141" s="30">
        <f t="shared" si="5"/>
        <v>14</v>
      </c>
    </row>
    <row r="142" spans="1:17" hidden="1" x14ac:dyDescent="0.25">
      <c r="A142">
        <v>37</v>
      </c>
      <c r="B142" t="s">
        <v>68</v>
      </c>
      <c r="C142" s="30">
        <v>328619</v>
      </c>
      <c r="D142" s="30">
        <v>2559</v>
      </c>
      <c r="E142" s="30">
        <v>3073</v>
      </c>
      <c r="F142">
        <v>43</v>
      </c>
      <c r="G142" s="30">
        <v>31536</v>
      </c>
      <c r="H142" s="30">
        <v>294010</v>
      </c>
      <c r="I142">
        <v>288</v>
      </c>
      <c r="J142" s="30">
        <v>37686</v>
      </c>
      <c r="K142">
        <v>352</v>
      </c>
      <c r="L142" s="30">
        <v>2253975</v>
      </c>
      <c r="M142" s="30">
        <v>258484</v>
      </c>
      <c r="N142" s="30">
        <v>8719979</v>
      </c>
      <c r="O142" s="146">
        <f t="shared" si="4"/>
        <v>0.25848399405549027</v>
      </c>
      <c r="Q142" s="30">
        <f t="shared" si="5"/>
        <v>15</v>
      </c>
    </row>
    <row r="143" spans="1:17" hidden="1" x14ac:dyDescent="0.25">
      <c r="A143">
        <v>32</v>
      </c>
      <c r="B143" t="s">
        <v>61</v>
      </c>
      <c r="C143" s="30">
        <v>406456</v>
      </c>
      <c r="D143" s="30">
        <v>4986</v>
      </c>
      <c r="E143" s="30">
        <v>3247</v>
      </c>
      <c r="F143">
        <v>21</v>
      </c>
      <c r="G143" s="30">
        <v>366321</v>
      </c>
      <c r="H143" s="30">
        <v>36888</v>
      </c>
      <c r="I143">
        <v>602</v>
      </c>
      <c r="J143" s="30">
        <v>44192</v>
      </c>
      <c r="K143">
        <v>353</v>
      </c>
      <c r="L143" s="30">
        <v>7701395</v>
      </c>
      <c r="M143" s="30">
        <v>837327</v>
      </c>
      <c r="N143" s="30">
        <v>9197590</v>
      </c>
      <c r="O143" s="146">
        <f t="shared" si="4"/>
        <v>0.83732749557220965</v>
      </c>
      <c r="Q143" s="30">
        <f t="shared" si="5"/>
        <v>16</v>
      </c>
    </row>
    <row r="144" spans="1:17" s="254" customFormat="1" x14ac:dyDescent="0.25">
      <c r="A144" s="254">
        <v>10</v>
      </c>
      <c r="B144" s="257" t="s">
        <v>23</v>
      </c>
      <c r="C144" s="255">
        <v>1665534</v>
      </c>
      <c r="D144" s="255">
        <v>10212</v>
      </c>
      <c r="E144" s="255">
        <v>30838</v>
      </c>
      <c r="F144" s="254">
        <v>336</v>
      </c>
      <c r="G144" s="255">
        <v>1255700</v>
      </c>
      <c r="H144" s="255">
        <v>378996</v>
      </c>
      <c r="I144" s="255">
        <v>5535</v>
      </c>
      <c r="J144" s="255">
        <v>19848</v>
      </c>
      <c r="K144" s="254">
        <v>367</v>
      </c>
      <c r="L144" s="255">
        <v>33708381</v>
      </c>
      <c r="M144" s="255">
        <v>401694</v>
      </c>
      <c r="N144" s="255">
        <v>83915659</v>
      </c>
      <c r="O144" s="256">
        <f t="shared" si="4"/>
        <v>0.40169357425888774</v>
      </c>
      <c r="P144" s="236" t="s">
        <v>2297</v>
      </c>
      <c r="Q144" s="255">
        <f t="shared" si="5"/>
        <v>17</v>
      </c>
    </row>
    <row r="145" spans="1:17" hidden="1" x14ac:dyDescent="0.25">
      <c r="A145">
        <v>39</v>
      </c>
      <c r="B145" t="s">
        <v>154</v>
      </c>
      <c r="C145" s="30">
        <v>289748</v>
      </c>
      <c r="D145" s="30">
        <v>1802</v>
      </c>
      <c r="E145" s="30">
        <v>3778</v>
      </c>
      <c r="F145">
        <v>20</v>
      </c>
      <c r="G145" s="30">
        <v>264061</v>
      </c>
      <c r="H145" s="30">
        <v>21909</v>
      </c>
      <c r="I145">
        <v>252</v>
      </c>
      <c r="J145" s="30">
        <v>28261</v>
      </c>
      <c r="K145">
        <v>368</v>
      </c>
      <c r="L145" s="30">
        <v>3104457</v>
      </c>
      <c r="M145" s="30">
        <v>302795</v>
      </c>
      <c r="N145" s="30">
        <v>10252682</v>
      </c>
      <c r="O145" s="146">
        <f t="shared" si="4"/>
        <v>0.30279462486010977</v>
      </c>
      <c r="Q145" s="30">
        <f t="shared" si="5"/>
        <v>18</v>
      </c>
    </row>
    <row r="146" spans="1:17" hidden="1" x14ac:dyDescent="0.25">
      <c r="A146">
        <v>66</v>
      </c>
      <c r="B146" t="s">
        <v>104</v>
      </c>
      <c r="C146" s="30">
        <v>131592</v>
      </c>
      <c r="E146" s="30">
        <v>4466</v>
      </c>
      <c r="G146" s="30">
        <v>100207</v>
      </c>
      <c r="H146" s="30">
        <v>26919</v>
      </c>
      <c r="I146">
        <v>324</v>
      </c>
      <c r="J146" s="30">
        <v>11078</v>
      </c>
      <c r="K146">
        <v>376</v>
      </c>
      <c r="L146" s="30">
        <v>586247</v>
      </c>
      <c r="M146" s="30">
        <v>49351</v>
      </c>
      <c r="N146" s="30">
        <v>11879088</v>
      </c>
      <c r="O146" s="146">
        <f t="shared" si="4"/>
        <v>4.9351179147759494E-2</v>
      </c>
      <c r="Q146" s="30">
        <f t="shared" si="5"/>
        <v>19</v>
      </c>
    </row>
    <row r="147" spans="1:17" s="254" customFormat="1" x14ac:dyDescent="0.25">
      <c r="A147" s="254">
        <v>4</v>
      </c>
      <c r="B147" s="254" t="s">
        <v>32</v>
      </c>
      <c r="C147" s="255">
        <v>3078035</v>
      </c>
      <c r="D147" s="255">
        <v>27787</v>
      </c>
      <c r="E147" s="255">
        <v>55265</v>
      </c>
      <c r="F147" s="254">
        <v>487</v>
      </c>
      <c r="G147" s="255">
        <v>2471309</v>
      </c>
      <c r="H147" s="255">
        <v>551461</v>
      </c>
      <c r="I147" s="255">
        <v>2300</v>
      </c>
      <c r="J147" s="255">
        <v>21087</v>
      </c>
      <c r="K147" s="254">
        <v>379</v>
      </c>
      <c r="L147" s="255">
        <v>89516176</v>
      </c>
      <c r="M147" s="255">
        <v>613270</v>
      </c>
      <c r="N147" s="255">
        <v>145965290</v>
      </c>
      <c r="O147" s="256">
        <f t="shared" si="4"/>
        <v>0.61327029186185289</v>
      </c>
      <c r="P147" s="236" t="s">
        <v>2297</v>
      </c>
      <c r="Q147" s="255">
        <f t="shared" si="5"/>
        <v>20</v>
      </c>
    </row>
    <row r="148" spans="1:17" hidden="1" x14ac:dyDescent="0.25">
      <c r="A148">
        <v>113</v>
      </c>
      <c r="B148" t="s">
        <v>210</v>
      </c>
      <c r="C148" s="30">
        <v>16550</v>
      </c>
      <c r="E148">
        <v>108</v>
      </c>
      <c r="G148" s="30">
        <v>4842</v>
      </c>
      <c r="H148" s="30">
        <v>11600</v>
      </c>
      <c r="I148">
        <v>21</v>
      </c>
      <c r="J148" s="30">
        <v>58749</v>
      </c>
      <c r="K148">
        <v>383</v>
      </c>
      <c r="L148" s="30">
        <v>26355</v>
      </c>
      <c r="M148" s="30">
        <v>93555</v>
      </c>
      <c r="N148" s="30">
        <v>281705</v>
      </c>
      <c r="O148" s="146">
        <f t="shared" si="4"/>
        <v>9.355531495713601E-2</v>
      </c>
      <c r="Q148" s="30">
        <f t="shared" si="5"/>
        <v>21</v>
      </c>
    </row>
    <row r="149" spans="1:17" hidden="1" x14ac:dyDescent="0.25">
      <c r="A149">
        <v>131</v>
      </c>
      <c r="B149" t="s">
        <v>139</v>
      </c>
      <c r="C149" s="30">
        <v>8588</v>
      </c>
      <c r="E149">
        <v>154</v>
      </c>
      <c r="G149" s="30">
        <v>2242</v>
      </c>
      <c r="H149" s="30">
        <v>6192</v>
      </c>
      <c r="I149">
        <v>3</v>
      </c>
      <c r="J149" s="30">
        <v>21462</v>
      </c>
      <c r="K149">
        <v>385</v>
      </c>
      <c r="L149" s="30">
        <v>98053</v>
      </c>
      <c r="M149" s="30">
        <v>245036</v>
      </c>
      <c r="N149" s="30">
        <v>400158</v>
      </c>
      <c r="O149" s="146">
        <f t="shared" si="4"/>
        <v>0.24503571089419679</v>
      </c>
      <c r="Q149" s="30">
        <f t="shared" si="5"/>
        <v>22</v>
      </c>
    </row>
    <row r="150" spans="1:17" s="254" customFormat="1" x14ac:dyDescent="0.25">
      <c r="A150" s="254">
        <v>26</v>
      </c>
      <c r="B150" s="257" t="s">
        <v>26</v>
      </c>
      <c r="C150" s="255">
        <v>554295</v>
      </c>
      <c r="D150" s="255">
        <v>2275</v>
      </c>
      <c r="E150" s="255">
        <v>14970</v>
      </c>
      <c r="F150" s="254">
        <v>7</v>
      </c>
      <c r="G150" s="255">
        <v>459096</v>
      </c>
      <c r="H150" s="255">
        <v>80229</v>
      </c>
      <c r="I150" s="254">
        <v>715</v>
      </c>
      <c r="J150" s="255">
        <v>14624</v>
      </c>
      <c r="K150" s="254">
        <v>395</v>
      </c>
      <c r="L150" s="255">
        <v>13438585</v>
      </c>
      <c r="M150" s="255">
        <v>354541</v>
      </c>
      <c r="N150" s="255">
        <v>37904174</v>
      </c>
      <c r="O150" s="256">
        <f t="shared" si="4"/>
        <v>0.35454103286883393</v>
      </c>
      <c r="P150" s="236" t="s">
        <v>2297</v>
      </c>
      <c r="Q150" s="255">
        <f t="shared" si="5"/>
        <v>23</v>
      </c>
    </row>
    <row r="151" spans="1:17" hidden="1" x14ac:dyDescent="0.25">
      <c r="A151">
        <v>88</v>
      </c>
      <c r="B151" t="s">
        <v>115</v>
      </c>
      <c r="C151" s="30">
        <v>56572</v>
      </c>
      <c r="D151">
        <v>318</v>
      </c>
      <c r="E151" s="30">
        <v>1164</v>
      </c>
      <c r="F151">
        <v>11</v>
      </c>
      <c r="G151" s="30">
        <v>32122</v>
      </c>
      <c r="H151" s="30">
        <v>23286</v>
      </c>
      <c r="I151">
        <v>39</v>
      </c>
      <c r="J151" s="30">
        <v>19669</v>
      </c>
      <c r="K151">
        <v>405</v>
      </c>
      <c r="L151" s="30">
        <v>250798</v>
      </c>
      <c r="M151" s="30">
        <v>87196</v>
      </c>
      <c r="N151" s="30">
        <v>2876247</v>
      </c>
      <c r="O151" s="146">
        <f t="shared" si="4"/>
        <v>8.719626652370259E-2</v>
      </c>
      <c r="Q151" s="30">
        <f t="shared" si="5"/>
        <v>24</v>
      </c>
    </row>
    <row r="152" spans="1:17" hidden="1" x14ac:dyDescent="0.25">
      <c r="A152">
        <v>53</v>
      </c>
      <c r="B152" t="s">
        <v>152</v>
      </c>
      <c r="C152" s="30">
        <v>162990</v>
      </c>
      <c r="E152" s="30">
        <v>2086</v>
      </c>
      <c r="G152" s="30">
        <v>128842</v>
      </c>
      <c r="H152" s="30">
        <v>32062</v>
      </c>
      <c r="I152">
        <v>228</v>
      </c>
      <c r="J152" s="30">
        <v>31853</v>
      </c>
      <c r="K152">
        <v>408</v>
      </c>
      <c r="L152" s="30">
        <v>475338</v>
      </c>
      <c r="M152" s="30">
        <v>92896</v>
      </c>
      <c r="N152" s="30">
        <v>5116887</v>
      </c>
      <c r="O152" s="146">
        <f t="shared" si="4"/>
        <v>9.2895934578973507E-2</v>
      </c>
      <c r="Q152" s="30">
        <f t="shared" si="5"/>
        <v>25</v>
      </c>
    </row>
    <row r="153" spans="1:17" s="254" customFormat="1" x14ac:dyDescent="0.25">
      <c r="A153" s="254">
        <v>16</v>
      </c>
      <c r="B153" s="257" t="s">
        <v>48</v>
      </c>
      <c r="C153" s="255">
        <v>1030374</v>
      </c>
      <c r="D153" s="255">
        <v>4385</v>
      </c>
      <c r="E153" s="255">
        <v>17849</v>
      </c>
      <c r="F153" s="254">
        <v>75</v>
      </c>
      <c r="G153" s="255">
        <v>665729</v>
      </c>
      <c r="H153" s="255">
        <v>346796</v>
      </c>
      <c r="I153" s="254">
        <v>177</v>
      </c>
      <c r="J153" s="255">
        <v>23630</v>
      </c>
      <c r="K153" s="254">
        <v>409</v>
      </c>
      <c r="L153" s="255">
        <v>5472989</v>
      </c>
      <c r="M153" s="255">
        <v>125516</v>
      </c>
      <c r="N153" s="255">
        <v>43603742</v>
      </c>
      <c r="O153" s="256">
        <f t="shared" si="4"/>
        <v>0.12551649810238763</v>
      </c>
      <c r="P153" s="236" t="s">
        <v>2297</v>
      </c>
      <c r="Q153" s="255">
        <f t="shared" si="5"/>
        <v>26</v>
      </c>
    </row>
    <row r="154" spans="1:17" hidden="1" x14ac:dyDescent="0.25">
      <c r="A154">
        <v>135</v>
      </c>
      <c r="B154" t="s">
        <v>149</v>
      </c>
      <c r="C154" s="30">
        <v>7834</v>
      </c>
      <c r="E154">
        <v>170</v>
      </c>
      <c r="G154" s="30">
        <v>6177</v>
      </c>
      <c r="H154" s="30">
        <v>1487</v>
      </c>
      <c r="I154">
        <v>16</v>
      </c>
      <c r="J154" s="30">
        <v>19829</v>
      </c>
      <c r="K154">
        <v>430</v>
      </c>
      <c r="L154" s="30">
        <v>51062</v>
      </c>
      <c r="M154" s="30">
        <v>129244</v>
      </c>
      <c r="N154" s="30">
        <v>395083</v>
      </c>
      <c r="O154" s="146">
        <f t="shared" si="4"/>
        <v>0.12924372853299179</v>
      </c>
      <c r="Q154" s="30">
        <f t="shared" si="5"/>
        <v>27</v>
      </c>
    </row>
    <row r="155" spans="1:17" hidden="1" x14ac:dyDescent="0.25">
      <c r="A155">
        <v>81</v>
      </c>
      <c r="B155" t="s">
        <v>36</v>
      </c>
      <c r="C155" s="30">
        <v>86894</v>
      </c>
      <c r="D155">
        <v>765</v>
      </c>
      <c r="E155" s="30">
        <v>2205</v>
      </c>
      <c r="F155">
        <v>1</v>
      </c>
      <c r="G155" s="30">
        <v>23364</v>
      </c>
      <c r="H155" s="30">
        <v>61325</v>
      </c>
      <c r="I155">
        <v>30</v>
      </c>
      <c r="J155" s="30">
        <v>17502</v>
      </c>
      <c r="K155">
        <v>444</v>
      </c>
      <c r="L155" s="30">
        <v>2307023</v>
      </c>
      <c r="M155" s="30">
        <v>464681</v>
      </c>
      <c r="N155" s="30">
        <v>4964741</v>
      </c>
      <c r="O155" s="146">
        <f t="shared" si="4"/>
        <v>0.46468144058270111</v>
      </c>
      <c r="Q155" s="30">
        <f t="shared" si="5"/>
        <v>28</v>
      </c>
    </row>
    <row r="156" spans="1:17" s="254" customFormat="1" x14ac:dyDescent="0.25">
      <c r="A156" s="254">
        <v>18</v>
      </c>
      <c r="B156" s="257" t="s">
        <v>52</v>
      </c>
      <c r="C156" s="255">
        <v>1004413</v>
      </c>
      <c r="E156" s="255">
        <v>26735</v>
      </c>
      <c r="G156" s="255">
        <v>844874</v>
      </c>
      <c r="H156" s="255">
        <v>132804</v>
      </c>
      <c r="I156" s="254">
        <v>546</v>
      </c>
      <c r="J156" s="255">
        <v>16832</v>
      </c>
      <c r="K156" s="254">
        <v>448</v>
      </c>
      <c r="L156" s="255">
        <v>6445318</v>
      </c>
      <c r="M156" s="255">
        <v>108009</v>
      </c>
      <c r="N156" s="255">
        <v>59673704</v>
      </c>
      <c r="O156" s="256">
        <f t="shared" si="4"/>
        <v>0.10800935031617946</v>
      </c>
      <c r="P156" s="236" t="s">
        <v>2297</v>
      </c>
      <c r="Q156" s="255">
        <f t="shared" si="5"/>
        <v>29</v>
      </c>
    </row>
    <row r="157" spans="1:17" s="254" customFormat="1" x14ac:dyDescent="0.25">
      <c r="A157" s="254">
        <v>61</v>
      </c>
      <c r="B157" s="257" t="s">
        <v>75</v>
      </c>
      <c r="C157" s="255">
        <v>135931</v>
      </c>
      <c r="D157" s="254">
        <v>475</v>
      </c>
      <c r="E157" s="255">
        <v>4672</v>
      </c>
      <c r="F157" s="254">
        <v>66</v>
      </c>
      <c r="G157" s="255">
        <v>9989</v>
      </c>
      <c r="H157" s="255">
        <v>121270</v>
      </c>
      <c r="I157" s="254">
        <v>467</v>
      </c>
      <c r="J157" s="255">
        <v>13073</v>
      </c>
      <c r="K157" s="254">
        <v>449</v>
      </c>
      <c r="L157" s="255">
        <v>3283621</v>
      </c>
      <c r="M157" s="255">
        <v>315797</v>
      </c>
      <c r="N157" s="255">
        <v>10397879</v>
      </c>
      <c r="O157" s="256">
        <f t="shared" si="4"/>
        <v>0.31579719286981506</v>
      </c>
      <c r="P157" s="236" t="s">
        <v>2297</v>
      </c>
      <c r="Q157" s="255">
        <f t="shared" si="5"/>
        <v>30</v>
      </c>
    </row>
    <row r="158" spans="1:17" hidden="1" x14ac:dyDescent="0.25">
      <c r="A158">
        <v>149</v>
      </c>
      <c r="B158" t="s">
        <v>178</v>
      </c>
      <c r="C158" s="30">
        <v>5305</v>
      </c>
      <c r="E158">
        <v>49</v>
      </c>
      <c r="G158" s="30">
        <v>5092</v>
      </c>
      <c r="H158">
        <v>164</v>
      </c>
      <c r="I158">
        <v>4</v>
      </c>
      <c r="J158" s="30">
        <v>49585</v>
      </c>
      <c r="K158">
        <v>458</v>
      </c>
      <c r="L158" s="30">
        <v>63075</v>
      </c>
      <c r="M158" s="30">
        <v>589547</v>
      </c>
      <c r="N158" s="30">
        <v>106989</v>
      </c>
      <c r="O158" s="146">
        <f t="shared" si="4"/>
        <v>0.58954658890166278</v>
      </c>
      <c r="Q158" s="30">
        <f t="shared" si="5"/>
        <v>31</v>
      </c>
    </row>
    <row r="159" spans="1:17" hidden="1" x14ac:dyDescent="0.25">
      <c r="A159">
        <v>65</v>
      </c>
      <c r="B159" t="s">
        <v>94</v>
      </c>
      <c r="C159" s="30">
        <v>132369</v>
      </c>
      <c r="D159" s="30">
        <v>1773</v>
      </c>
      <c r="E159" s="30">
        <v>1269</v>
      </c>
      <c r="F159">
        <v>15</v>
      </c>
      <c r="G159" s="30">
        <v>62098</v>
      </c>
      <c r="H159" s="30">
        <v>69002</v>
      </c>
      <c r="I159">
        <v>198</v>
      </c>
      <c r="J159" s="30">
        <v>48964</v>
      </c>
      <c r="K159">
        <v>469</v>
      </c>
      <c r="L159" s="30">
        <v>1587999</v>
      </c>
      <c r="M159" s="30">
        <v>587410</v>
      </c>
      <c r="N159" s="30">
        <v>2703393</v>
      </c>
      <c r="O159" s="146">
        <f t="shared" si="4"/>
        <v>0.58740959971413698</v>
      </c>
      <c r="Q159" s="30">
        <f t="shared" si="5"/>
        <v>32</v>
      </c>
    </row>
    <row r="160" spans="1:17" hidden="1" x14ac:dyDescent="0.25">
      <c r="A160">
        <v>122</v>
      </c>
      <c r="B160" t="s">
        <v>165</v>
      </c>
      <c r="C160" s="30">
        <v>12426</v>
      </c>
      <c r="D160">
        <v>101</v>
      </c>
      <c r="E160">
        <v>215</v>
      </c>
      <c r="F160">
        <v>5</v>
      </c>
      <c r="G160" s="30">
        <v>10791</v>
      </c>
      <c r="H160" s="30">
        <v>1420</v>
      </c>
      <c r="I160">
        <v>18</v>
      </c>
      <c r="J160" s="30">
        <v>28105</v>
      </c>
      <c r="K160">
        <v>486</v>
      </c>
      <c r="L160" s="30">
        <v>506059</v>
      </c>
      <c r="M160" s="30">
        <v>1144617</v>
      </c>
      <c r="N160" s="30">
        <v>442121</v>
      </c>
      <c r="O160" s="146">
        <f t="shared" si="4"/>
        <v>1.1446165190072402</v>
      </c>
      <c r="Q160" s="30">
        <f t="shared" si="5"/>
        <v>33</v>
      </c>
    </row>
    <row r="161" spans="1:17" hidden="1" x14ac:dyDescent="0.25">
      <c r="A161">
        <v>126</v>
      </c>
      <c r="B161" t="s">
        <v>184</v>
      </c>
      <c r="C161" s="30">
        <v>10561</v>
      </c>
      <c r="E161">
        <v>233</v>
      </c>
      <c r="G161" s="30">
        <v>9281</v>
      </c>
      <c r="H161" s="30">
        <v>1047</v>
      </c>
      <c r="I161">
        <v>4</v>
      </c>
      <c r="J161" s="30">
        <v>26328</v>
      </c>
      <c r="K161">
        <v>581</v>
      </c>
      <c r="L161" s="30">
        <v>58158</v>
      </c>
      <c r="M161" s="30">
        <v>144983</v>
      </c>
      <c r="N161" s="30">
        <v>401136</v>
      </c>
      <c r="O161" s="146">
        <f t="shared" si="4"/>
        <v>0.14498324757688166</v>
      </c>
      <c r="Q161" s="30">
        <f t="shared" si="5"/>
        <v>34</v>
      </c>
    </row>
    <row r="162" spans="1:17" hidden="1" x14ac:dyDescent="0.25">
      <c r="A162">
        <v>171</v>
      </c>
      <c r="B162" t="s">
        <v>133</v>
      </c>
      <c r="C162" s="30">
        <v>1393</v>
      </c>
      <c r="E162">
        <v>26</v>
      </c>
      <c r="G162" s="30">
        <v>1238</v>
      </c>
      <c r="H162">
        <v>129</v>
      </c>
      <c r="I162">
        <v>4</v>
      </c>
      <c r="J162" s="30">
        <v>32310</v>
      </c>
      <c r="K162">
        <v>603</v>
      </c>
      <c r="L162" s="30">
        <v>9715</v>
      </c>
      <c r="M162" s="30">
        <v>225333</v>
      </c>
      <c r="N162" s="30">
        <v>43114</v>
      </c>
      <c r="O162" s="146">
        <f t="shared" si="4"/>
        <v>0.22533283852113004</v>
      </c>
      <c r="Q162" s="30">
        <f t="shared" si="5"/>
        <v>35</v>
      </c>
    </row>
    <row r="163" spans="1:17" hidden="1" x14ac:dyDescent="0.25">
      <c r="A163">
        <v>42</v>
      </c>
      <c r="B163" t="s">
        <v>144</v>
      </c>
      <c r="C163" s="30">
        <v>222143</v>
      </c>
      <c r="D163">
        <v>538</v>
      </c>
      <c r="E163" s="30">
        <v>2418</v>
      </c>
      <c r="F163">
        <v>41</v>
      </c>
      <c r="G163" s="30">
        <v>206313</v>
      </c>
      <c r="H163" s="30">
        <v>13412</v>
      </c>
      <c r="J163" s="30">
        <v>55739</v>
      </c>
      <c r="K163">
        <v>607</v>
      </c>
      <c r="L163" s="30">
        <v>1876048</v>
      </c>
      <c r="M163" s="30">
        <v>470732</v>
      </c>
      <c r="N163" s="30">
        <v>3985388</v>
      </c>
      <c r="O163" s="146">
        <f t="shared" si="4"/>
        <v>0.47073158247076569</v>
      </c>
      <c r="Q163" s="30">
        <f t="shared" si="5"/>
        <v>36</v>
      </c>
    </row>
    <row r="164" spans="1:17" s="262" customFormat="1" x14ac:dyDescent="0.25">
      <c r="A164" s="262">
        <v>19</v>
      </c>
      <c r="B164" s="262" t="s">
        <v>27</v>
      </c>
      <c r="C164" s="263">
        <v>770400</v>
      </c>
      <c r="D164" s="263">
        <v>7415</v>
      </c>
      <c r="E164" s="263">
        <v>11042</v>
      </c>
      <c r="F164" s="262">
        <v>44</v>
      </c>
      <c r="G164" s="262" t="s">
        <v>338</v>
      </c>
      <c r="H164" s="262" t="s">
        <v>338</v>
      </c>
      <c r="I164" s="262">
        <v>651</v>
      </c>
      <c r="J164" s="263">
        <v>44912</v>
      </c>
      <c r="K164" s="262">
        <v>644</v>
      </c>
      <c r="L164" s="263">
        <v>5770408</v>
      </c>
      <c r="M164" s="263">
        <v>336398</v>
      </c>
      <c r="N164" s="263">
        <v>17153526</v>
      </c>
      <c r="O164" s="264">
        <f t="shared" si="4"/>
        <v>0.33639777617732936</v>
      </c>
      <c r="P164" s="265" t="s">
        <v>2298</v>
      </c>
      <c r="Q164" s="263">
        <v>1</v>
      </c>
    </row>
    <row r="165" spans="1:17" hidden="1" x14ac:dyDescent="0.25">
      <c r="A165">
        <v>15</v>
      </c>
      <c r="B165" t="s">
        <v>25</v>
      </c>
      <c r="C165" s="30">
        <v>1206373</v>
      </c>
      <c r="D165" s="30">
        <v>5908</v>
      </c>
      <c r="E165" s="30">
        <v>54814</v>
      </c>
      <c r="F165">
        <v>121</v>
      </c>
      <c r="G165" s="30">
        <v>960751</v>
      </c>
      <c r="H165" s="30">
        <v>190808</v>
      </c>
      <c r="I165" s="30">
        <v>5174</v>
      </c>
      <c r="J165" s="30">
        <v>14274</v>
      </c>
      <c r="K165">
        <v>649</v>
      </c>
      <c r="L165" s="30">
        <v>7460422</v>
      </c>
      <c r="M165" s="30">
        <v>88271</v>
      </c>
      <c r="N165" s="30">
        <v>84517652</v>
      </c>
      <c r="O165" s="146">
        <f t="shared" si="4"/>
        <v>8.8270578079949494E-2</v>
      </c>
      <c r="Q165" s="30">
        <f t="shared" si="5"/>
        <v>2</v>
      </c>
    </row>
    <row r="166" spans="1:17" hidden="1" x14ac:dyDescent="0.25">
      <c r="A166">
        <v>33</v>
      </c>
      <c r="B166" t="s">
        <v>38</v>
      </c>
      <c r="C166" s="30">
        <v>396666</v>
      </c>
      <c r="D166" s="30">
        <v>2093</v>
      </c>
      <c r="E166" s="30">
        <v>6677</v>
      </c>
      <c r="F166">
        <v>58</v>
      </c>
      <c r="G166" s="30">
        <v>321682</v>
      </c>
      <c r="H166" s="30">
        <v>68307</v>
      </c>
      <c r="I166">
        <v>503</v>
      </c>
      <c r="J166" s="30">
        <v>38957</v>
      </c>
      <c r="K166">
        <v>656</v>
      </c>
      <c r="L166" s="30">
        <v>5323341</v>
      </c>
      <c r="M166" s="30">
        <v>522817</v>
      </c>
      <c r="N166" s="30">
        <v>10182028</v>
      </c>
      <c r="O166" s="146">
        <f t="shared" si="4"/>
        <v>0.52281736015654245</v>
      </c>
      <c r="Q166" s="30">
        <f t="shared" si="5"/>
        <v>3</v>
      </c>
    </row>
    <row r="167" spans="1:17" hidden="1" x14ac:dyDescent="0.25">
      <c r="A167">
        <v>36</v>
      </c>
      <c r="B167" t="s">
        <v>49</v>
      </c>
      <c r="C167" s="30">
        <v>353484</v>
      </c>
      <c r="D167" s="30">
        <v>1592</v>
      </c>
      <c r="E167" s="30">
        <v>5931</v>
      </c>
      <c r="F167">
        <v>50</v>
      </c>
      <c r="G167" s="30">
        <v>326768</v>
      </c>
      <c r="H167" s="30">
        <v>20785</v>
      </c>
      <c r="I167">
        <v>421</v>
      </c>
      <c r="J167" s="30">
        <v>39139</v>
      </c>
      <c r="K167">
        <v>657</v>
      </c>
      <c r="L167" s="30">
        <v>3778483</v>
      </c>
      <c r="M167" s="30">
        <v>418362</v>
      </c>
      <c r="N167" s="30">
        <v>9031617</v>
      </c>
      <c r="O167" s="146">
        <f t="shared" si="4"/>
        <v>0.4183617396530433</v>
      </c>
      <c r="Q167" s="30">
        <f t="shared" si="5"/>
        <v>4</v>
      </c>
    </row>
    <row r="168" spans="1:17" s="262" customFormat="1" x14ac:dyDescent="0.25">
      <c r="A168" s="262">
        <v>14</v>
      </c>
      <c r="B168" s="262" t="s">
        <v>41</v>
      </c>
      <c r="C168" s="263">
        <v>1261010</v>
      </c>
      <c r="D168" s="263">
        <v>3211</v>
      </c>
      <c r="E168" s="263">
        <v>27147</v>
      </c>
      <c r="F168" s="262">
        <v>29</v>
      </c>
      <c r="G168" s="263">
        <v>1005376</v>
      </c>
      <c r="H168" s="263">
        <v>228487</v>
      </c>
      <c r="I168" s="263">
        <v>1599</v>
      </c>
      <c r="J168" s="263">
        <v>33337</v>
      </c>
      <c r="K168" s="262">
        <v>718</v>
      </c>
      <c r="L168" s="263">
        <v>7078555</v>
      </c>
      <c r="M168" s="263">
        <v>187134</v>
      </c>
      <c r="N168" s="263">
        <v>37826168</v>
      </c>
      <c r="O168" s="264">
        <f t="shared" si="4"/>
        <v>0.18713381170410917</v>
      </c>
      <c r="P168" s="265" t="s">
        <v>2298</v>
      </c>
      <c r="Q168" s="263">
        <f t="shared" si="5"/>
        <v>5</v>
      </c>
    </row>
    <row r="169" spans="1:17" hidden="1" x14ac:dyDescent="0.25">
      <c r="A169">
        <v>60</v>
      </c>
      <c r="B169" t="s">
        <v>64</v>
      </c>
      <c r="C169" s="30">
        <v>141924</v>
      </c>
      <c r="D169">
        <v>569</v>
      </c>
      <c r="E169" s="30">
        <v>2909</v>
      </c>
      <c r="F169">
        <v>18</v>
      </c>
      <c r="G169" s="30">
        <v>127813</v>
      </c>
      <c r="H169" s="30">
        <v>11202</v>
      </c>
      <c r="I169">
        <v>256</v>
      </c>
      <c r="J169" s="30">
        <v>35223</v>
      </c>
      <c r="K169">
        <v>722</v>
      </c>
      <c r="L169" s="30">
        <v>547968</v>
      </c>
      <c r="M169" s="30">
        <v>135995</v>
      </c>
      <c r="N169" s="30">
        <v>4029335</v>
      </c>
      <c r="O169" s="146">
        <f t="shared" si="4"/>
        <v>0.13599464924112789</v>
      </c>
      <c r="Q169" s="30">
        <f t="shared" si="5"/>
        <v>6</v>
      </c>
    </row>
    <row r="170" spans="1:17" hidden="1" x14ac:dyDescent="0.25">
      <c r="A170">
        <v>93</v>
      </c>
      <c r="B170" t="s">
        <v>84</v>
      </c>
      <c r="C170" s="30">
        <v>45849</v>
      </c>
      <c r="D170">
        <v>19</v>
      </c>
      <c r="E170">
        <v>487</v>
      </c>
      <c r="F170">
        <v>9</v>
      </c>
      <c r="G170" s="30">
        <v>40456</v>
      </c>
      <c r="H170" s="30">
        <v>4906</v>
      </c>
      <c r="I170">
        <v>32</v>
      </c>
      <c r="J170" s="30">
        <v>72668</v>
      </c>
      <c r="K170">
        <v>772</v>
      </c>
      <c r="L170" s="30">
        <v>1650157</v>
      </c>
      <c r="M170" s="30">
        <v>2615415</v>
      </c>
      <c r="N170" s="30">
        <v>630935</v>
      </c>
      <c r="O170" s="146">
        <f t="shared" si="4"/>
        <v>2.6154152170984335</v>
      </c>
      <c r="Q170" s="30">
        <f t="shared" si="5"/>
        <v>7</v>
      </c>
    </row>
    <row r="171" spans="1:17" hidden="1" x14ac:dyDescent="0.25">
      <c r="A171">
        <v>56</v>
      </c>
      <c r="B171" t="s">
        <v>65</v>
      </c>
      <c r="C171" s="30">
        <v>154843</v>
      </c>
      <c r="D171">
        <v>494</v>
      </c>
      <c r="E171" s="30">
        <v>9098</v>
      </c>
      <c r="F171">
        <v>5</v>
      </c>
      <c r="G171" s="30">
        <v>130222</v>
      </c>
      <c r="H171" s="30">
        <v>15523</v>
      </c>
      <c r="I171">
        <v>71</v>
      </c>
      <c r="J171" s="30">
        <v>13177</v>
      </c>
      <c r="K171">
        <v>774</v>
      </c>
      <c r="L171" s="30">
        <v>402689</v>
      </c>
      <c r="M171" s="30">
        <v>34269</v>
      </c>
      <c r="N171" s="30">
        <v>11750683</v>
      </c>
      <c r="O171" s="146">
        <f t="shared" si="4"/>
        <v>3.42694122545898E-2</v>
      </c>
      <c r="Q171" s="30">
        <f t="shared" si="5"/>
        <v>8</v>
      </c>
    </row>
    <row r="172" spans="1:17" hidden="1" x14ac:dyDescent="0.25">
      <c r="A172">
        <v>45</v>
      </c>
      <c r="B172" t="s">
        <v>34</v>
      </c>
      <c r="C172" s="30">
        <v>209758</v>
      </c>
      <c r="D172">
        <v>403</v>
      </c>
      <c r="E172" s="30">
        <v>13994</v>
      </c>
      <c r="F172">
        <v>2</v>
      </c>
      <c r="G172" s="30">
        <v>184507</v>
      </c>
      <c r="H172" s="30">
        <v>11257</v>
      </c>
      <c r="I172">
        <v>359</v>
      </c>
      <c r="J172" s="30">
        <v>11802</v>
      </c>
      <c r="K172">
        <v>787</v>
      </c>
      <c r="L172" s="30">
        <v>737315</v>
      </c>
      <c r="M172" s="30">
        <v>41484</v>
      </c>
      <c r="N172" s="30">
        <v>17773559</v>
      </c>
      <c r="O172" s="146">
        <f t="shared" si="4"/>
        <v>4.1483813118126767E-2</v>
      </c>
      <c r="Q172" s="30">
        <f t="shared" si="5"/>
        <v>9</v>
      </c>
    </row>
    <row r="173" spans="1:17" hidden="1" x14ac:dyDescent="0.25">
      <c r="A173">
        <v>23</v>
      </c>
      <c r="B173" t="s">
        <v>39</v>
      </c>
      <c r="C173" s="30">
        <v>618429</v>
      </c>
      <c r="D173" s="30">
        <v>2620</v>
      </c>
      <c r="E173" s="30">
        <v>15334</v>
      </c>
      <c r="F173">
        <v>104</v>
      </c>
      <c r="G173" s="30">
        <v>543341</v>
      </c>
      <c r="H173" s="30">
        <v>59754</v>
      </c>
      <c r="I173" s="30">
        <v>1197</v>
      </c>
      <c r="J173" s="30">
        <v>32253</v>
      </c>
      <c r="K173">
        <v>800</v>
      </c>
      <c r="L173" s="30">
        <v>4726466</v>
      </c>
      <c r="M173" s="30">
        <v>246502</v>
      </c>
      <c r="N173" s="30">
        <v>19174157</v>
      </c>
      <c r="O173" s="146">
        <f t="shared" si="4"/>
        <v>0.24650189314711463</v>
      </c>
      <c r="Q173" s="30">
        <f t="shared" si="5"/>
        <v>10</v>
      </c>
    </row>
    <row r="174" spans="1:17" s="262" customFormat="1" x14ac:dyDescent="0.25">
      <c r="A174" s="262">
        <v>34</v>
      </c>
      <c r="B174" s="262" t="s">
        <v>31</v>
      </c>
      <c r="C174" s="263">
        <v>396048</v>
      </c>
      <c r="E174" s="263">
        <v>8279</v>
      </c>
      <c r="G174" s="262" t="s">
        <v>338</v>
      </c>
      <c r="H174" s="262" t="s">
        <v>338</v>
      </c>
      <c r="I174" s="262">
        <v>302</v>
      </c>
      <c r="J174" s="263">
        <v>39096</v>
      </c>
      <c r="K174" s="262">
        <v>817</v>
      </c>
      <c r="L174" s="263">
        <v>4272532</v>
      </c>
      <c r="M174" s="263">
        <v>421764</v>
      </c>
      <c r="N174" s="263">
        <v>10130157</v>
      </c>
      <c r="O174" s="264">
        <f t="shared" si="4"/>
        <v>0.42176365084963641</v>
      </c>
      <c r="P174" s="265" t="s">
        <v>2298</v>
      </c>
      <c r="Q174" s="263">
        <f t="shared" si="5"/>
        <v>11</v>
      </c>
    </row>
    <row r="175" spans="1:17" hidden="1" x14ac:dyDescent="0.25">
      <c r="A175">
        <v>11</v>
      </c>
      <c r="B175" t="s">
        <v>47</v>
      </c>
      <c r="C175" s="30">
        <v>1594497</v>
      </c>
      <c r="E175" s="30">
        <v>42171</v>
      </c>
      <c r="G175" s="30">
        <v>1455975</v>
      </c>
      <c r="H175" s="30">
        <v>96351</v>
      </c>
      <c r="I175" s="30">
        <v>2578</v>
      </c>
      <c r="J175" s="30">
        <v>31174</v>
      </c>
      <c r="K175">
        <v>824</v>
      </c>
      <c r="L175" s="30">
        <v>7874546</v>
      </c>
      <c r="M175" s="30">
        <v>153956</v>
      </c>
      <c r="N175" s="30">
        <v>51148037</v>
      </c>
      <c r="O175" s="146">
        <f t="shared" si="4"/>
        <v>0.15395597684423354</v>
      </c>
      <c r="Q175" s="30">
        <f t="shared" si="5"/>
        <v>12</v>
      </c>
    </row>
    <row r="176" spans="1:17" s="262" customFormat="1" x14ac:dyDescent="0.25">
      <c r="A176" s="262">
        <v>30</v>
      </c>
      <c r="B176" s="262" t="s">
        <v>35</v>
      </c>
      <c r="C176" s="263">
        <v>438284</v>
      </c>
      <c r="D176" s="263">
        <v>10087</v>
      </c>
      <c r="E176" s="263">
        <v>7361</v>
      </c>
      <c r="F176" s="262">
        <v>151</v>
      </c>
      <c r="G176" s="263">
        <v>317600</v>
      </c>
      <c r="H176" s="263">
        <v>113323</v>
      </c>
      <c r="I176" s="262">
        <v>432</v>
      </c>
      <c r="J176" s="263">
        <v>50461</v>
      </c>
      <c r="K176" s="262">
        <v>847</v>
      </c>
      <c r="L176" s="263">
        <v>3559277</v>
      </c>
      <c r="M176" s="263">
        <v>409788</v>
      </c>
      <c r="N176" s="263">
        <v>8685645</v>
      </c>
      <c r="O176" s="264">
        <f t="shared" si="4"/>
        <v>0.40978844979273271</v>
      </c>
      <c r="P176" s="265" t="s">
        <v>2298</v>
      </c>
      <c r="Q176" s="263">
        <f t="shared" si="5"/>
        <v>13</v>
      </c>
    </row>
    <row r="177" spans="1:17" hidden="1" x14ac:dyDescent="0.25">
      <c r="A177">
        <v>24</v>
      </c>
      <c r="B177" t="s">
        <v>44</v>
      </c>
      <c r="C177" s="30">
        <v>600105</v>
      </c>
      <c r="E177" s="30">
        <v>16443</v>
      </c>
      <c r="G177" s="30">
        <v>569578</v>
      </c>
      <c r="H177" s="30">
        <v>14084</v>
      </c>
      <c r="I177">
        <v>716</v>
      </c>
      <c r="J177" s="30">
        <v>31261</v>
      </c>
      <c r="K177">
        <v>857</v>
      </c>
      <c r="L177" s="30">
        <v>6336885</v>
      </c>
      <c r="M177" s="30">
        <v>330105</v>
      </c>
      <c r="N177" s="30">
        <v>19196553</v>
      </c>
      <c r="O177" s="146">
        <f t="shared" si="4"/>
        <v>0.33010535797754942</v>
      </c>
      <c r="Q177" s="30">
        <f t="shared" si="5"/>
        <v>14</v>
      </c>
    </row>
    <row r="178" spans="1:17" hidden="1" x14ac:dyDescent="0.25">
      <c r="A178">
        <v>41</v>
      </c>
      <c r="B178" t="s">
        <v>59</v>
      </c>
      <c r="C178" s="30">
        <v>231357</v>
      </c>
      <c r="E178" s="30">
        <v>3840</v>
      </c>
      <c r="G178" s="30">
        <v>185966</v>
      </c>
      <c r="H178" s="30">
        <v>41551</v>
      </c>
      <c r="I178">
        <v>188</v>
      </c>
      <c r="J178" s="30">
        <v>53212</v>
      </c>
      <c r="K178">
        <v>883</v>
      </c>
      <c r="L178" s="30">
        <v>1252106</v>
      </c>
      <c r="M178" s="30">
        <v>287984</v>
      </c>
      <c r="N178" s="30">
        <v>4347839</v>
      </c>
      <c r="O178" s="146">
        <f t="shared" si="4"/>
        <v>0.28798352468893168</v>
      </c>
      <c r="Q178" s="30">
        <f t="shared" si="5"/>
        <v>15</v>
      </c>
    </row>
    <row r="179" spans="1:17" s="262" customFormat="1" x14ac:dyDescent="0.25">
      <c r="A179" s="262">
        <v>3</v>
      </c>
      <c r="B179" s="262" t="s">
        <v>21</v>
      </c>
      <c r="C179" s="263">
        <v>7486094</v>
      </c>
      <c r="D179" s="263">
        <v>1809</v>
      </c>
      <c r="E179" s="263">
        <v>191207</v>
      </c>
      <c r="F179" s="262">
        <v>61</v>
      </c>
      <c r="G179" s="263">
        <v>6515370</v>
      </c>
      <c r="H179" s="263">
        <v>779517</v>
      </c>
      <c r="I179" s="263">
        <v>8318</v>
      </c>
      <c r="J179" s="263">
        <v>35097</v>
      </c>
      <c r="K179" s="262">
        <v>896</v>
      </c>
      <c r="L179" s="263">
        <v>28600000</v>
      </c>
      <c r="M179" s="263">
        <v>134083</v>
      </c>
      <c r="N179" s="263">
        <v>213300138</v>
      </c>
      <c r="O179" s="264">
        <f t="shared" si="4"/>
        <v>0.1340833637904163</v>
      </c>
      <c r="P179" s="265" t="s">
        <v>2298</v>
      </c>
      <c r="Q179" s="263">
        <f t="shared" si="5"/>
        <v>16</v>
      </c>
    </row>
    <row r="180" spans="1:17" hidden="1" x14ac:dyDescent="0.25">
      <c r="A180">
        <v>46</v>
      </c>
      <c r="B180" t="s">
        <v>87</v>
      </c>
      <c r="C180" s="30">
        <v>205246</v>
      </c>
      <c r="D180">
        <v>316</v>
      </c>
      <c r="E180" s="30">
        <v>3739</v>
      </c>
      <c r="F180">
        <v>68</v>
      </c>
      <c r="G180" s="30">
        <v>193471</v>
      </c>
      <c r="H180" s="30">
        <v>8036</v>
      </c>
      <c r="I180">
        <v>256</v>
      </c>
      <c r="J180" s="30">
        <v>50149</v>
      </c>
      <c r="K180">
        <v>914</v>
      </c>
      <c r="L180" s="30">
        <v>996935</v>
      </c>
      <c r="M180" s="30">
        <v>243586</v>
      </c>
      <c r="N180" s="30">
        <v>4092738</v>
      </c>
      <c r="O180" s="146">
        <f t="shared" si="4"/>
        <v>0.24358632289679916</v>
      </c>
      <c r="Q180" s="30">
        <f t="shared" si="5"/>
        <v>17</v>
      </c>
    </row>
    <row r="181" spans="1:17" hidden="1" x14ac:dyDescent="0.25">
      <c r="A181">
        <v>166</v>
      </c>
      <c r="B181" t="s">
        <v>193</v>
      </c>
      <c r="C181" s="30">
        <v>2038</v>
      </c>
      <c r="D181">
        <v>20</v>
      </c>
      <c r="E181">
        <v>35</v>
      </c>
      <c r="F181">
        <v>4</v>
      </c>
      <c r="G181" s="30">
        <v>1734</v>
      </c>
      <c r="H181">
        <v>269</v>
      </c>
      <c r="I181">
        <v>24</v>
      </c>
      <c r="J181" s="30">
        <v>53376</v>
      </c>
      <c r="K181">
        <v>917</v>
      </c>
      <c r="L181" s="30">
        <v>17794</v>
      </c>
      <c r="M181" s="30">
        <v>466031</v>
      </c>
      <c r="N181" s="30">
        <v>38182</v>
      </c>
      <c r="O181" s="146">
        <f t="shared" si="4"/>
        <v>0.46603111413755172</v>
      </c>
      <c r="Q181" s="30">
        <f t="shared" si="5"/>
        <v>18</v>
      </c>
    </row>
    <row r="182" spans="1:17" hidden="1" x14ac:dyDescent="0.25">
      <c r="A182">
        <v>54</v>
      </c>
      <c r="B182" t="s">
        <v>88</v>
      </c>
      <c r="C182" s="30">
        <v>157948</v>
      </c>
      <c r="D182">
        <v>114</v>
      </c>
      <c r="E182" s="30">
        <v>2775</v>
      </c>
      <c r="F182">
        <v>7</v>
      </c>
      <c r="G182" s="30">
        <v>139675</v>
      </c>
      <c r="H182" s="30">
        <v>15498</v>
      </c>
      <c r="J182" s="30">
        <v>53253</v>
      </c>
      <c r="K182">
        <v>936</v>
      </c>
      <c r="L182" s="30">
        <v>585057</v>
      </c>
      <c r="M182" s="30">
        <v>197257</v>
      </c>
      <c r="N182" s="30">
        <v>2965969</v>
      </c>
      <c r="O182" s="146">
        <f t="shared" si="4"/>
        <v>0.19725661326871588</v>
      </c>
      <c r="Q182" s="30">
        <f t="shared" si="5"/>
        <v>19</v>
      </c>
    </row>
    <row r="183" spans="1:17" s="262" customFormat="1" x14ac:dyDescent="0.25">
      <c r="A183" s="262">
        <v>12</v>
      </c>
      <c r="B183" s="262" t="s">
        <v>55</v>
      </c>
      <c r="C183" s="263">
        <v>1583297</v>
      </c>
      <c r="E183" s="263">
        <v>42650</v>
      </c>
      <c r="G183" s="263">
        <v>1407926</v>
      </c>
      <c r="H183" s="263">
        <v>132721</v>
      </c>
      <c r="I183" s="263">
        <v>3313</v>
      </c>
      <c r="J183" s="263">
        <v>34875</v>
      </c>
      <c r="K183" s="262">
        <v>939</v>
      </c>
      <c r="L183" s="263">
        <v>4683310</v>
      </c>
      <c r="M183" s="263">
        <v>103159</v>
      </c>
      <c r="N183" s="263">
        <v>45398764</v>
      </c>
      <c r="O183" s="264">
        <f t="shared" si="4"/>
        <v>0.10315941641054369</v>
      </c>
      <c r="P183" s="265" t="s">
        <v>2298</v>
      </c>
      <c r="Q183" s="263">
        <f t="shared" si="5"/>
        <v>20</v>
      </c>
    </row>
    <row r="184" spans="1:17" s="262" customFormat="1" x14ac:dyDescent="0.25">
      <c r="A184" s="262">
        <v>13</v>
      </c>
      <c r="B184" s="262" t="s">
        <v>24</v>
      </c>
      <c r="C184" s="263">
        <v>1383434</v>
      </c>
      <c r="D184" s="263">
        <v>6217</v>
      </c>
      <c r="E184" s="263">
        <v>122426</v>
      </c>
      <c r="F184" s="262">
        <v>400</v>
      </c>
      <c r="G184" s="263">
        <v>1038766</v>
      </c>
      <c r="H184" s="263">
        <v>222242</v>
      </c>
      <c r="I184" s="263">
        <v>3913</v>
      </c>
      <c r="J184" s="263">
        <v>10675</v>
      </c>
      <c r="K184" s="262">
        <v>945</v>
      </c>
      <c r="L184" s="263">
        <v>3511534</v>
      </c>
      <c r="M184" s="263">
        <v>27096</v>
      </c>
      <c r="N184" s="263">
        <v>129595093</v>
      </c>
      <c r="O184" s="264">
        <f t="shared" si="4"/>
        <v>2.7096195686977128E-2</v>
      </c>
      <c r="P184" s="265" t="s">
        <v>2298</v>
      </c>
      <c r="Q184" s="263">
        <f t="shared" si="5"/>
        <v>21</v>
      </c>
    </row>
    <row r="185" spans="1:17" hidden="1" x14ac:dyDescent="0.25">
      <c r="A185">
        <v>38</v>
      </c>
      <c r="B185" t="s">
        <v>54</v>
      </c>
      <c r="C185" s="30">
        <v>316669</v>
      </c>
      <c r="D185">
        <v>609</v>
      </c>
      <c r="E185" s="30">
        <v>9161</v>
      </c>
      <c r="F185">
        <v>114</v>
      </c>
      <c r="G185" s="30">
        <v>134344</v>
      </c>
      <c r="H185" s="30">
        <v>173164</v>
      </c>
      <c r="I185">
        <v>448</v>
      </c>
      <c r="J185" s="30">
        <v>32821</v>
      </c>
      <c r="K185">
        <v>949</v>
      </c>
      <c r="L185" s="30">
        <v>2615237</v>
      </c>
      <c r="M185" s="30">
        <v>271058</v>
      </c>
      <c r="N185" s="30">
        <v>9648241</v>
      </c>
      <c r="O185" s="146">
        <f t="shared" si="4"/>
        <v>0.27105842401739344</v>
      </c>
      <c r="Q185" s="30">
        <f t="shared" si="5"/>
        <v>22</v>
      </c>
    </row>
    <row r="186" spans="1:17" s="262" customFormat="1" x14ac:dyDescent="0.25">
      <c r="A186" s="262">
        <v>5</v>
      </c>
      <c r="B186" s="262" t="s">
        <v>19</v>
      </c>
      <c r="C186" s="263">
        <v>2559686</v>
      </c>
      <c r="E186" s="263">
        <v>62746</v>
      </c>
      <c r="G186" s="263">
        <v>189941</v>
      </c>
      <c r="H186" s="263">
        <v>2306999</v>
      </c>
      <c r="I186" s="263">
        <v>2659</v>
      </c>
      <c r="J186" s="263">
        <v>39172</v>
      </c>
      <c r="K186" s="262">
        <v>960</v>
      </c>
      <c r="L186" s="263">
        <v>34273124</v>
      </c>
      <c r="M186" s="263">
        <v>524498</v>
      </c>
      <c r="N186" s="263">
        <v>65344575</v>
      </c>
      <c r="O186" s="264">
        <f t="shared" si="4"/>
        <v>0.52449838414283056</v>
      </c>
      <c r="P186" s="265" t="s">
        <v>2298</v>
      </c>
      <c r="Q186" s="263">
        <f t="shared" si="5"/>
        <v>23</v>
      </c>
    </row>
    <row r="187" spans="1:17" s="266" customFormat="1" x14ac:dyDescent="0.25">
      <c r="A187" s="266">
        <v>1</v>
      </c>
      <c r="B187" s="266" t="s">
        <v>16</v>
      </c>
      <c r="C187" s="267">
        <v>19589952</v>
      </c>
      <c r="D187" s="267">
        <v>16105</v>
      </c>
      <c r="E187" s="267">
        <v>341332</v>
      </c>
      <c r="F187" s="266">
        <v>194</v>
      </c>
      <c r="G187" s="267">
        <v>11501001</v>
      </c>
      <c r="H187" s="267">
        <v>7747619</v>
      </c>
      <c r="I187" s="267">
        <v>28689</v>
      </c>
      <c r="J187" s="267">
        <v>59014</v>
      </c>
      <c r="K187" s="267">
        <v>1028</v>
      </c>
      <c r="L187" s="267">
        <v>246804411</v>
      </c>
      <c r="M187" s="267">
        <v>743487</v>
      </c>
      <c r="N187" s="267">
        <v>331955077</v>
      </c>
      <c r="O187" s="268">
        <f t="shared" si="4"/>
        <v>0.74348738157723671</v>
      </c>
      <c r="P187" s="242" t="s">
        <v>2299</v>
      </c>
      <c r="Q187" s="267">
        <v>1</v>
      </c>
    </row>
    <row r="188" spans="1:17" hidden="1" x14ac:dyDescent="0.25">
      <c r="A188">
        <v>48</v>
      </c>
      <c r="B188" t="s">
        <v>81</v>
      </c>
      <c r="C188" s="30">
        <v>197716</v>
      </c>
      <c r="E188" s="30">
        <v>7164</v>
      </c>
      <c r="G188" s="30">
        <v>111008</v>
      </c>
      <c r="H188" s="30">
        <v>79544</v>
      </c>
      <c r="I188">
        <v>523</v>
      </c>
      <c r="J188" s="30">
        <v>28561</v>
      </c>
      <c r="K188" s="30">
        <v>1035</v>
      </c>
      <c r="L188" s="30">
        <v>1130629</v>
      </c>
      <c r="M188" s="30">
        <v>163326</v>
      </c>
      <c r="N188" s="30">
        <v>6922534</v>
      </c>
      <c r="O188" s="146">
        <f t="shared" si="4"/>
        <v>0.16332588615671659</v>
      </c>
      <c r="Q188" s="30">
        <f t="shared" si="5"/>
        <v>2</v>
      </c>
    </row>
    <row r="189" spans="1:17" hidden="1" x14ac:dyDescent="0.25">
      <c r="A189">
        <v>21</v>
      </c>
      <c r="B189" t="s">
        <v>58</v>
      </c>
      <c r="C189" s="30">
        <v>674340</v>
      </c>
      <c r="D189" s="30">
        <v>3732</v>
      </c>
      <c r="E189" s="30">
        <v>11152</v>
      </c>
      <c r="F189">
        <v>53</v>
      </c>
      <c r="G189" s="30">
        <v>566048</v>
      </c>
      <c r="H189" s="30">
        <v>97140</v>
      </c>
      <c r="I189">
        <v>618</v>
      </c>
      <c r="J189" s="30">
        <v>62912</v>
      </c>
      <c r="K189" s="30">
        <v>1040</v>
      </c>
      <c r="L189" s="30">
        <v>3663434</v>
      </c>
      <c r="M189" s="30">
        <v>341778</v>
      </c>
      <c r="N189" s="30">
        <v>10718758</v>
      </c>
      <c r="O189" s="146">
        <f t="shared" si="4"/>
        <v>0.34177784403752748</v>
      </c>
      <c r="Q189" s="30">
        <f t="shared" si="5"/>
        <v>3</v>
      </c>
    </row>
    <row r="190" spans="1:17" s="266" customFormat="1" x14ac:dyDescent="0.25">
      <c r="A190" s="266">
        <v>6</v>
      </c>
      <c r="B190" s="266" t="s">
        <v>17</v>
      </c>
      <c r="C190" s="267">
        <v>2329730</v>
      </c>
      <c r="D190" s="267">
        <v>41385</v>
      </c>
      <c r="E190" s="267">
        <v>71109</v>
      </c>
      <c r="F190" s="266">
        <v>357</v>
      </c>
      <c r="G190" s="266" t="s">
        <v>338</v>
      </c>
      <c r="H190" s="266" t="s">
        <v>338</v>
      </c>
      <c r="I190" s="267">
        <v>1529</v>
      </c>
      <c r="J190" s="267">
        <v>34230</v>
      </c>
      <c r="K190" s="267">
        <v>1045</v>
      </c>
      <c r="L190" s="267">
        <v>52257588</v>
      </c>
      <c r="M190" s="267">
        <v>767804</v>
      </c>
      <c r="N190" s="267">
        <v>68061074</v>
      </c>
      <c r="O190" s="268">
        <f t="shared" si="4"/>
        <v>0.76780433996677744</v>
      </c>
      <c r="P190" s="242" t="s">
        <v>2299</v>
      </c>
      <c r="Q190" s="267">
        <f t="shared" si="5"/>
        <v>4</v>
      </c>
    </row>
    <row r="191" spans="1:17" s="266" customFormat="1" x14ac:dyDescent="0.25">
      <c r="A191" s="266">
        <v>9</v>
      </c>
      <c r="B191" s="266" t="s">
        <v>20</v>
      </c>
      <c r="C191" s="267">
        <v>1869610</v>
      </c>
      <c r="E191" s="267">
        <v>49824</v>
      </c>
      <c r="G191" s="266" t="s">
        <v>338</v>
      </c>
      <c r="H191" s="266" t="s">
        <v>338</v>
      </c>
      <c r="I191" s="267">
        <v>1907</v>
      </c>
      <c r="J191" s="267">
        <v>39980</v>
      </c>
      <c r="K191" s="267">
        <v>1065</v>
      </c>
      <c r="L191" s="267">
        <v>27016086</v>
      </c>
      <c r="M191" s="267">
        <v>577715</v>
      </c>
      <c r="N191" s="267">
        <v>46763700</v>
      </c>
      <c r="O191" s="268">
        <f t="shared" si="4"/>
        <v>0.57771489424489508</v>
      </c>
      <c r="P191" s="242" t="s">
        <v>2299</v>
      </c>
      <c r="Q191" s="267">
        <f t="shared" si="5"/>
        <v>5</v>
      </c>
    </row>
    <row r="192" spans="1:17" hidden="1" x14ac:dyDescent="0.25">
      <c r="A192">
        <v>134</v>
      </c>
      <c r="B192" t="s">
        <v>102</v>
      </c>
      <c r="C192" s="30">
        <v>7875</v>
      </c>
      <c r="D192">
        <v>54</v>
      </c>
      <c r="E192">
        <v>83</v>
      </c>
      <c r="G192" s="30">
        <v>7318</v>
      </c>
      <c r="H192">
        <v>474</v>
      </c>
      <c r="I192">
        <v>15</v>
      </c>
      <c r="J192" s="30">
        <v>101842</v>
      </c>
      <c r="K192" s="30">
        <v>1073</v>
      </c>
      <c r="L192" s="30">
        <v>180088</v>
      </c>
      <c r="M192" s="30">
        <v>2328945</v>
      </c>
      <c r="N192" s="30">
        <v>77326</v>
      </c>
      <c r="O192" s="146">
        <f t="shared" si="4"/>
        <v>2.3289449861624809</v>
      </c>
      <c r="Q192" s="30">
        <f t="shared" si="5"/>
        <v>6</v>
      </c>
    </row>
    <row r="193" spans="1:17" hidden="1" x14ac:dyDescent="0.25">
      <c r="A193">
        <v>92</v>
      </c>
      <c r="B193" t="s">
        <v>156</v>
      </c>
      <c r="C193" s="30">
        <v>46969</v>
      </c>
      <c r="D193">
        <v>275</v>
      </c>
      <c r="E193">
        <v>675</v>
      </c>
      <c r="F193">
        <v>9</v>
      </c>
      <c r="G193" s="30">
        <v>37281</v>
      </c>
      <c r="H193" s="30">
        <v>9013</v>
      </c>
      <c r="I193">
        <v>68</v>
      </c>
      <c r="J193" s="30">
        <v>74779</v>
      </c>
      <c r="K193" s="30">
        <v>1075</v>
      </c>
      <c r="L193" s="30">
        <v>175905</v>
      </c>
      <c r="M193" s="30">
        <v>280057</v>
      </c>
      <c r="N193" s="30">
        <v>628105</v>
      </c>
      <c r="O193" s="146">
        <f t="shared" si="4"/>
        <v>0.28005667842160148</v>
      </c>
      <c r="Q193" s="30">
        <f t="shared" si="5"/>
        <v>7</v>
      </c>
    </row>
    <row r="194" spans="1:17" s="266" customFormat="1" x14ac:dyDescent="0.25">
      <c r="A194" s="266">
        <v>17</v>
      </c>
      <c r="B194" s="266" t="s">
        <v>33</v>
      </c>
      <c r="C194" s="267">
        <v>1007657</v>
      </c>
      <c r="E194" s="267">
        <v>37474</v>
      </c>
      <c r="G194" s="267">
        <v>945603</v>
      </c>
      <c r="H194" s="267">
        <v>24580</v>
      </c>
      <c r="I194" s="267">
        <v>1144</v>
      </c>
      <c r="J194" s="267">
        <v>30355</v>
      </c>
      <c r="K194" s="267">
        <v>1129</v>
      </c>
      <c r="L194" s="267">
        <v>5463577</v>
      </c>
      <c r="M194" s="267">
        <v>164586</v>
      </c>
      <c r="N194" s="267">
        <v>33195820</v>
      </c>
      <c r="O194" s="268">
        <f t="shared" si="4"/>
        <v>0.16458629429849903</v>
      </c>
      <c r="P194" s="242" t="s">
        <v>2299</v>
      </c>
      <c r="Q194" s="267">
        <f t="shared" si="5"/>
        <v>8</v>
      </c>
    </row>
    <row r="195" spans="1:17" hidden="1" x14ac:dyDescent="0.25">
      <c r="A195">
        <v>83</v>
      </c>
      <c r="B195" t="s">
        <v>82</v>
      </c>
      <c r="C195" s="30">
        <v>81804</v>
      </c>
      <c r="D195">
        <v>83</v>
      </c>
      <c r="E195" s="30">
        <v>2456</v>
      </c>
      <c r="F195">
        <v>11</v>
      </c>
      <c r="G195" s="30">
        <v>59650</v>
      </c>
      <c r="H195" s="30">
        <v>19698</v>
      </c>
      <c r="I195">
        <v>138</v>
      </c>
      <c r="J195" s="30">
        <v>39266</v>
      </c>
      <c r="K195" s="30">
        <v>1179</v>
      </c>
      <c r="L195" s="30">
        <v>394329</v>
      </c>
      <c r="M195" s="30">
        <v>189278</v>
      </c>
      <c r="N195" s="30">
        <v>2083332</v>
      </c>
      <c r="O195" s="146">
        <f t="shared" si="4"/>
        <v>0.18927804113794633</v>
      </c>
      <c r="Q195" s="30">
        <f t="shared" si="5"/>
        <v>9</v>
      </c>
    </row>
    <row r="196" spans="1:17" s="266" customFormat="1" x14ac:dyDescent="0.25">
      <c r="A196" s="266">
        <v>8</v>
      </c>
      <c r="B196" s="266" t="s">
        <v>18</v>
      </c>
      <c r="C196" s="267">
        <v>2056277</v>
      </c>
      <c r="D196" s="267">
        <v>8585</v>
      </c>
      <c r="E196" s="267">
        <v>72370</v>
      </c>
      <c r="F196" s="266">
        <v>445</v>
      </c>
      <c r="G196" s="267">
        <v>1408686</v>
      </c>
      <c r="H196" s="267">
        <v>575221</v>
      </c>
      <c r="I196" s="267">
        <v>2565</v>
      </c>
      <c r="J196" s="267">
        <v>34034</v>
      </c>
      <c r="K196" s="267">
        <v>1198</v>
      </c>
      <c r="L196" s="267">
        <v>26114818</v>
      </c>
      <c r="M196" s="267">
        <v>432236</v>
      </c>
      <c r="N196" s="267">
        <v>60417968</v>
      </c>
      <c r="O196" s="268">
        <f t="shared" si="4"/>
        <v>0.43223595338393372</v>
      </c>
      <c r="P196" s="242" t="s">
        <v>2299</v>
      </c>
      <c r="Q196" s="267">
        <f t="shared" si="5"/>
        <v>10</v>
      </c>
    </row>
    <row r="197" spans="1:17" hidden="1" x14ac:dyDescent="0.25">
      <c r="A197">
        <v>73</v>
      </c>
      <c r="B197" t="s">
        <v>80</v>
      </c>
      <c r="C197" s="30">
        <v>109691</v>
      </c>
      <c r="E197" s="30">
        <v>3953</v>
      </c>
      <c r="G197" s="30">
        <v>75717</v>
      </c>
      <c r="H197" s="30">
        <v>30021</v>
      </c>
      <c r="J197" s="30">
        <v>33537</v>
      </c>
      <c r="K197" s="30">
        <v>1209</v>
      </c>
      <c r="L197" s="30">
        <v>503906</v>
      </c>
      <c r="M197" s="30">
        <v>154066</v>
      </c>
      <c r="N197" s="30">
        <v>3270719</v>
      </c>
      <c r="O197" s="146">
        <f t="shared" si="4"/>
        <v>0.15406581855549192</v>
      </c>
      <c r="Q197" s="30">
        <f t="shared" si="5"/>
        <v>11</v>
      </c>
    </row>
    <row r="198" spans="1:17" hidden="1" x14ac:dyDescent="0.25">
      <c r="A198">
        <v>71</v>
      </c>
      <c r="B198" t="s">
        <v>85</v>
      </c>
      <c r="C198" s="30">
        <v>115327</v>
      </c>
      <c r="D198">
        <v>521</v>
      </c>
      <c r="E198" s="30">
        <v>2595</v>
      </c>
      <c r="F198">
        <v>30</v>
      </c>
      <c r="G198" s="30">
        <v>94191</v>
      </c>
      <c r="H198" s="30">
        <v>18541</v>
      </c>
      <c r="I198">
        <v>205</v>
      </c>
      <c r="J198" s="30">
        <v>55470</v>
      </c>
      <c r="K198" s="30">
        <v>1248</v>
      </c>
      <c r="L198" s="30">
        <v>656971</v>
      </c>
      <c r="M198" s="30">
        <v>315991</v>
      </c>
      <c r="N198" s="30">
        <v>2079079</v>
      </c>
      <c r="O198" s="146">
        <f t="shared" ref="O198:O225" si="6">L198/N198</f>
        <v>0.31599135963568487</v>
      </c>
      <c r="Q198" s="30">
        <f t="shared" si="5"/>
        <v>12</v>
      </c>
    </row>
    <row r="199" spans="1:17" s="266" customFormat="1" x14ac:dyDescent="0.25">
      <c r="A199" s="266">
        <v>22</v>
      </c>
      <c r="B199" s="266" t="s">
        <v>22</v>
      </c>
      <c r="C199" s="267">
        <v>638877</v>
      </c>
      <c r="D199" s="266">
        <v>847</v>
      </c>
      <c r="E199" s="267">
        <v>19200</v>
      </c>
      <c r="F199" s="266">
        <v>42</v>
      </c>
      <c r="G199" s="267">
        <v>43873</v>
      </c>
      <c r="H199" s="267">
        <v>575804</v>
      </c>
      <c r="I199" s="266">
        <v>492</v>
      </c>
      <c r="J199" s="267">
        <v>55007</v>
      </c>
      <c r="K199" s="267">
        <v>1653</v>
      </c>
      <c r="L199" s="267">
        <v>6816200</v>
      </c>
      <c r="M199" s="267">
        <v>586875</v>
      </c>
      <c r="N199" s="267">
        <v>11614401</v>
      </c>
      <c r="O199" s="268">
        <f t="shared" si="6"/>
        <v>0.58687486337005246</v>
      </c>
      <c r="P199" s="242" t="s">
        <v>2299</v>
      </c>
      <c r="Q199" s="267">
        <f t="shared" ref="Q199:Q225" si="7">Q198+1</f>
        <v>13</v>
      </c>
    </row>
    <row r="200" spans="1:17" hidden="1" x14ac:dyDescent="0.25">
      <c r="A200">
        <v>163</v>
      </c>
      <c r="B200" t="s">
        <v>108</v>
      </c>
      <c r="C200" s="30">
        <v>2275</v>
      </c>
      <c r="D200">
        <v>44</v>
      </c>
      <c r="E200">
        <v>57</v>
      </c>
      <c r="F200">
        <v>1</v>
      </c>
      <c r="G200" s="30">
        <v>1955</v>
      </c>
      <c r="H200">
        <v>263</v>
      </c>
      <c r="I200">
        <v>10</v>
      </c>
      <c r="J200" s="30">
        <v>66979</v>
      </c>
      <c r="K200" s="30">
        <v>1678</v>
      </c>
      <c r="L200" s="30">
        <v>25532</v>
      </c>
      <c r="M200" s="30">
        <v>751693</v>
      </c>
      <c r="N200" s="30">
        <v>33966</v>
      </c>
      <c r="O200" s="146">
        <f t="shared" si="6"/>
        <v>0.75169286933992818</v>
      </c>
      <c r="Q200" s="30">
        <f t="shared" si="7"/>
        <v>14</v>
      </c>
    </row>
    <row r="201" spans="1:17" hidden="1" x14ac:dyDescent="0.25">
      <c r="A201">
        <v>172</v>
      </c>
      <c r="B201" t="s">
        <v>208</v>
      </c>
      <c r="C201" s="30">
        <v>1137</v>
      </c>
      <c r="D201">
        <v>16</v>
      </c>
      <c r="G201">
        <v>711</v>
      </c>
      <c r="H201">
        <v>426</v>
      </c>
      <c r="I201">
        <v>3</v>
      </c>
      <c r="J201">
        <v>344</v>
      </c>
      <c r="L201" s="30">
        <v>548812</v>
      </c>
      <c r="M201" s="30">
        <v>166106</v>
      </c>
      <c r="N201" s="30">
        <v>3303988</v>
      </c>
      <c r="O201" s="146">
        <f t="shared" si="6"/>
        <v>0.16610593016681657</v>
      </c>
      <c r="Q201" s="30">
        <v>1</v>
      </c>
    </row>
    <row r="202" spans="1:17" hidden="1" x14ac:dyDescent="0.25">
      <c r="A202">
        <v>182</v>
      </c>
      <c r="B202" t="s">
        <v>140</v>
      </c>
      <c r="C202">
        <v>712</v>
      </c>
      <c r="E202">
        <v>13</v>
      </c>
      <c r="G202">
        <v>699</v>
      </c>
      <c r="H202">
        <v>0</v>
      </c>
      <c r="O202" s="146"/>
      <c r="Q202" s="30">
        <f t="shared" si="7"/>
        <v>2</v>
      </c>
    </row>
    <row r="203" spans="1:17" hidden="1" x14ac:dyDescent="0.25">
      <c r="A203">
        <v>183</v>
      </c>
      <c r="B203" t="s">
        <v>213</v>
      </c>
      <c r="C203">
        <v>623</v>
      </c>
      <c r="D203">
        <v>26</v>
      </c>
      <c r="G203">
        <v>445</v>
      </c>
      <c r="H203">
        <v>178</v>
      </c>
      <c r="J203">
        <v>803</v>
      </c>
      <c r="L203" s="30">
        <v>262776</v>
      </c>
      <c r="M203" s="30">
        <v>338733</v>
      </c>
      <c r="N203" s="30">
        <v>775761</v>
      </c>
      <c r="O203" s="146">
        <f t="shared" si="6"/>
        <v>0.33873319231051829</v>
      </c>
      <c r="Q203" s="30">
        <f t="shared" si="7"/>
        <v>3</v>
      </c>
    </row>
    <row r="204" spans="1:17" hidden="1" x14ac:dyDescent="0.25">
      <c r="A204">
        <v>184</v>
      </c>
      <c r="B204" t="s">
        <v>206</v>
      </c>
      <c r="C204">
        <v>582</v>
      </c>
      <c r="D204">
        <v>3</v>
      </c>
      <c r="G204">
        <v>535</v>
      </c>
      <c r="H204">
        <v>47</v>
      </c>
      <c r="I204">
        <v>1</v>
      </c>
      <c r="J204" s="30">
        <v>11889</v>
      </c>
      <c r="L204" s="30">
        <v>195209</v>
      </c>
      <c r="M204" s="30">
        <v>3987601</v>
      </c>
      <c r="N204" s="30">
        <v>48954</v>
      </c>
      <c r="O204" s="146">
        <f t="shared" si="6"/>
        <v>3.9876006046492627</v>
      </c>
      <c r="Q204" s="30">
        <f t="shared" si="7"/>
        <v>4</v>
      </c>
    </row>
    <row r="205" spans="1:17" hidden="1" x14ac:dyDescent="0.25">
      <c r="A205">
        <v>189</v>
      </c>
      <c r="B205" t="s">
        <v>209</v>
      </c>
      <c r="C205">
        <v>364</v>
      </c>
      <c r="G205">
        <v>360</v>
      </c>
      <c r="H205">
        <v>4</v>
      </c>
      <c r="J205">
        <v>22</v>
      </c>
      <c r="L205" s="30">
        <v>325926</v>
      </c>
      <c r="M205" s="30">
        <v>19364</v>
      </c>
      <c r="N205" s="30">
        <v>16831800</v>
      </c>
      <c r="O205" s="146">
        <f t="shared" si="6"/>
        <v>1.936370441663993E-2</v>
      </c>
      <c r="Q205" s="30">
        <f t="shared" si="7"/>
        <v>5</v>
      </c>
    </row>
    <row r="206" spans="1:17" hidden="1" x14ac:dyDescent="0.25">
      <c r="A206">
        <v>193</v>
      </c>
      <c r="B206" t="s">
        <v>227</v>
      </c>
      <c r="C206">
        <v>205</v>
      </c>
      <c r="G206">
        <v>184</v>
      </c>
      <c r="H206">
        <v>21</v>
      </c>
      <c r="J206" s="30">
        <v>2078</v>
      </c>
      <c r="L206" s="30">
        <v>5200</v>
      </c>
      <c r="M206" s="30">
        <v>52714</v>
      </c>
      <c r="N206" s="30">
        <v>98646</v>
      </c>
      <c r="O206" s="146">
        <f t="shared" si="6"/>
        <v>5.2713744095046935E-2</v>
      </c>
      <c r="Q206" s="30">
        <f t="shared" si="7"/>
        <v>6</v>
      </c>
    </row>
    <row r="207" spans="1:17" hidden="1" x14ac:dyDescent="0.25">
      <c r="A207">
        <v>198</v>
      </c>
      <c r="B207" t="s">
        <v>215</v>
      </c>
      <c r="C207">
        <v>124</v>
      </c>
      <c r="G207">
        <v>78</v>
      </c>
      <c r="H207">
        <v>46</v>
      </c>
      <c r="J207" s="30">
        <v>1099</v>
      </c>
      <c r="L207" s="30">
        <v>6781</v>
      </c>
      <c r="M207" s="30">
        <v>60126</v>
      </c>
      <c r="N207" s="30">
        <v>112779</v>
      </c>
      <c r="O207" s="146">
        <f t="shared" si="6"/>
        <v>6.0126441979446527E-2</v>
      </c>
      <c r="Q207" s="30">
        <f t="shared" si="7"/>
        <v>7</v>
      </c>
    </row>
    <row r="208" spans="1:17" hidden="1" x14ac:dyDescent="0.25">
      <c r="A208">
        <v>199</v>
      </c>
      <c r="B208" t="s">
        <v>221</v>
      </c>
      <c r="C208">
        <v>109</v>
      </c>
      <c r="G208">
        <v>87</v>
      </c>
      <c r="H208">
        <v>22</v>
      </c>
      <c r="J208">
        <v>981</v>
      </c>
      <c r="L208" s="30">
        <v>14222</v>
      </c>
      <c r="M208" s="30">
        <v>127996</v>
      </c>
      <c r="N208" s="30">
        <v>111113</v>
      </c>
      <c r="O208" s="146">
        <f t="shared" si="6"/>
        <v>0.1279958240709908</v>
      </c>
      <c r="Q208" s="30">
        <f t="shared" si="7"/>
        <v>8</v>
      </c>
    </row>
    <row r="209" spans="1:17" hidden="1" x14ac:dyDescent="0.25">
      <c r="A209">
        <v>200</v>
      </c>
      <c r="B209" t="s">
        <v>222</v>
      </c>
      <c r="C209">
        <v>88</v>
      </c>
      <c r="G209">
        <v>83</v>
      </c>
      <c r="H209">
        <v>5</v>
      </c>
      <c r="J209" s="30">
        <v>1221</v>
      </c>
      <c r="L209" s="30">
        <v>6618</v>
      </c>
      <c r="M209" s="30">
        <v>91822</v>
      </c>
      <c r="N209" s="30">
        <v>72074</v>
      </c>
      <c r="O209" s="146">
        <f t="shared" si="6"/>
        <v>9.1822293753642092E-2</v>
      </c>
      <c r="Q209" s="30">
        <f t="shared" si="7"/>
        <v>9</v>
      </c>
    </row>
    <row r="210" spans="1:17" hidden="1" x14ac:dyDescent="0.25">
      <c r="A210">
        <v>203</v>
      </c>
      <c r="B210" t="s">
        <v>211</v>
      </c>
      <c r="C210">
        <v>46</v>
      </c>
      <c r="G210">
        <v>46</v>
      </c>
      <c r="H210">
        <v>0</v>
      </c>
      <c r="J210">
        <v>70</v>
      </c>
      <c r="L210" s="30">
        <v>4238</v>
      </c>
      <c r="M210" s="30">
        <v>6484</v>
      </c>
      <c r="N210" s="30">
        <v>653652</v>
      </c>
      <c r="O210" s="146">
        <f t="shared" si="6"/>
        <v>6.4835722984095514E-3</v>
      </c>
      <c r="Q210" s="30">
        <f t="shared" si="7"/>
        <v>10</v>
      </c>
    </row>
    <row r="211" spans="1:17" hidden="1" x14ac:dyDescent="0.25">
      <c r="A211">
        <v>204</v>
      </c>
      <c r="B211" t="s">
        <v>214</v>
      </c>
      <c r="C211">
        <v>44</v>
      </c>
      <c r="D211">
        <v>3</v>
      </c>
      <c r="G211">
        <v>32</v>
      </c>
      <c r="H211">
        <v>12</v>
      </c>
      <c r="J211">
        <v>33</v>
      </c>
      <c r="L211" s="30">
        <v>16762</v>
      </c>
      <c r="M211" s="30">
        <v>12597</v>
      </c>
      <c r="N211" s="30">
        <v>1330639</v>
      </c>
      <c r="O211" s="146">
        <f t="shared" si="6"/>
        <v>1.2596955297417256E-2</v>
      </c>
      <c r="Q211" s="30">
        <f t="shared" si="7"/>
        <v>11</v>
      </c>
    </row>
    <row r="212" spans="1:17" hidden="1" x14ac:dyDescent="0.25">
      <c r="A212">
        <v>205</v>
      </c>
      <c r="B212" t="s">
        <v>217</v>
      </c>
      <c r="C212">
        <v>41</v>
      </c>
      <c r="G212">
        <v>40</v>
      </c>
      <c r="H212">
        <v>1</v>
      </c>
      <c r="J212">
        <v>6</v>
      </c>
      <c r="L212" s="30">
        <v>90556</v>
      </c>
      <c r="M212" s="30">
        <v>12359</v>
      </c>
      <c r="N212" s="30">
        <v>7327017</v>
      </c>
      <c r="O212" s="146">
        <f t="shared" si="6"/>
        <v>1.2359190650164999E-2</v>
      </c>
      <c r="Q212" s="30">
        <f t="shared" si="7"/>
        <v>12</v>
      </c>
    </row>
    <row r="213" spans="1:17" hidden="1" x14ac:dyDescent="0.25">
      <c r="A213">
        <v>206</v>
      </c>
      <c r="B213" t="s">
        <v>219</v>
      </c>
      <c r="C213">
        <v>38</v>
      </c>
      <c r="G213">
        <v>37</v>
      </c>
      <c r="H213">
        <v>1</v>
      </c>
      <c r="J213">
        <v>132</v>
      </c>
      <c r="L213" s="30">
        <v>18616</v>
      </c>
      <c r="M213" s="30">
        <v>64900</v>
      </c>
      <c r="N213" s="30">
        <v>286841</v>
      </c>
      <c r="O213" s="146">
        <f t="shared" si="6"/>
        <v>6.4900066587412542E-2</v>
      </c>
      <c r="Q213" s="30">
        <f t="shared" si="7"/>
        <v>13</v>
      </c>
    </row>
    <row r="214" spans="1:17" hidden="1" x14ac:dyDescent="0.25">
      <c r="A214">
        <v>207</v>
      </c>
      <c r="B214" t="s">
        <v>223</v>
      </c>
      <c r="C214">
        <v>32</v>
      </c>
      <c r="G214">
        <v>27</v>
      </c>
      <c r="H214">
        <v>5</v>
      </c>
      <c r="J214">
        <v>599</v>
      </c>
      <c r="L214" s="30">
        <v>4854</v>
      </c>
      <c r="M214" s="30">
        <v>90928</v>
      </c>
      <c r="N214" s="30">
        <v>53383</v>
      </c>
      <c r="O214" s="146">
        <f t="shared" si="6"/>
        <v>9.0927823464398774E-2</v>
      </c>
      <c r="Q214" s="30">
        <f t="shared" si="7"/>
        <v>14</v>
      </c>
    </row>
    <row r="215" spans="1:17" hidden="1" x14ac:dyDescent="0.25">
      <c r="A215">
        <v>208</v>
      </c>
      <c r="B215" t="s">
        <v>224</v>
      </c>
      <c r="C215">
        <v>29</v>
      </c>
      <c r="G215">
        <v>17</v>
      </c>
      <c r="H215">
        <v>12</v>
      </c>
      <c r="J215" s="30">
        <v>8218</v>
      </c>
      <c r="L215" s="30">
        <v>5467</v>
      </c>
      <c r="M215" s="30">
        <v>1549164</v>
      </c>
      <c r="N215" s="30">
        <v>3529</v>
      </c>
      <c r="O215" s="146">
        <f t="shared" si="6"/>
        <v>1.5491640691413999</v>
      </c>
      <c r="Q215" s="30">
        <f t="shared" si="7"/>
        <v>15</v>
      </c>
    </row>
    <row r="216" spans="1:17" hidden="1" x14ac:dyDescent="0.25">
      <c r="A216">
        <v>209</v>
      </c>
      <c r="B216" t="s">
        <v>226</v>
      </c>
      <c r="C216">
        <v>27</v>
      </c>
      <c r="G216">
        <v>15</v>
      </c>
      <c r="H216">
        <v>12</v>
      </c>
      <c r="J216" s="30">
        <v>33666</v>
      </c>
      <c r="N216">
        <v>802</v>
      </c>
      <c r="O216" s="146">
        <f t="shared" si="6"/>
        <v>0</v>
      </c>
      <c r="Q216" s="30">
        <f t="shared" si="7"/>
        <v>16</v>
      </c>
    </row>
    <row r="217" spans="1:17" hidden="1" x14ac:dyDescent="0.25">
      <c r="A217">
        <v>210</v>
      </c>
      <c r="B217" t="s">
        <v>225</v>
      </c>
      <c r="C217">
        <v>26</v>
      </c>
      <c r="G217">
        <v>19</v>
      </c>
      <c r="H217">
        <v>7</v>
      </c>
      <c r="J217">
        <v>458</v>
      </c>
      <c r="L217" s="30">
        <v>15621</v>
      </c>
      <c r="M217" s="30">
        <v>274930</v>
      </c>
      <c r="N217" s="30">
        <v>56818</v>
      </c>
      <c r="O217" s="146">
        <f t="shared" si="6"/>
        <v>0.27493047977753526</v>
      </c>
      <c r="Q217" s="30">
        <f t="shared" si="7"/>
        <v>17</v>
      </c>
    </row>
    <row r="218" spans="1:17" hidden="1" x14ac:dyDescent="0.25">
      <c r="A218">
        <v>211</v>
      </c>
      <c r="B218" t="s">
        <v>2127</v>
      </c>
      <c r="C218">
        <v>17</v>
      </c>
      <c r="G218">
        <v>5</v>
      </c>
      <c r="H218">
        <v>12</v>
      </c>
      <c r="J218">
        <v>24</v>
      </c>
      <c r="L218" s="30">
        <v>4500</v>
      </c>
      <c r="M218" s="30">
        <v>6475</v>
      </c>
      <c r="N218" s="30">
        <v>695026</v>
      </c>
      <c r="O218" s="146">
        <f t="shared" si="6"/>
        <v>6.4745779294587543E-3</v>
      </c>
      <c r="Q218" s="30">
        <f t="shared" si="7"/>
        <v>18</v>
      </c>
    </row>
    <row r="219" spans="1:17" hidden="1" x14ac:dyDescent="0.25">
      <c r="A219">
        <v>212</v>
      </c>
      <c r="B219" t="s">
        <v>233</v>
      </c>
      <c r="C219">
        <v>15</v>
      </c>
      <c r="G219">
        <v>14</v>
      </c>
      <c r="H219">
        <v>1</v>
      </c>
      <c r="J219" s="30">
        <v>2595</v>
      </c>
      <c r="L219" s="30">
        <v>3105</v>
      </c>
      <c r="M219" s="30">
        <v>537197</v>
      </c>
      <c r="N219" s="30">
        <v>5780</v>
      </c>
      <c r="O219" s="146">
        <f t="shared" si="6"/>
        <v>0.53719723183390999</v>
      </c>
      <c r="Q219" s="30">
        <f t="shared" si="7"/>
        <v>19</v>
      </c>
    </row>
    <row r="220" spans="1:17" hidden="1" x14ac:dyDescent="0.25">
      <c r="A220">
        <v>214</v>
      </c>
      <c r="B220" t="s">
        <v>231</v>
      </c>
      <c r="C220">
        <v>12</v>
      </c>
      <c r="G220">
        <v>10</v>
      </c>
      <c r="H220">
        <v>2</v>
      </c>
      <c r="J220">
        <v>796</v>
      </c>
      <c r="L220" s="30">
        <v>4714</v>
      </c>
      <c r="M220" s="30">
        <v>312828</v>
      </c>
      <c r="N220" s="30">
        <v>15069</v>
      </c>
      <c r="O220" s="146">
        <f t="shared" si="6"/>
        <v>0.31282765943327362</v>
      </c>
      <c r="Q220" s="30">
        <f t="shared" si="7"/>
        <v>20</v>
      </c>
    </row>
    <row r="221" spans="1:17" hidden="1" x14ac:dyDescent="0.25">
      <c r="A221">
        <v>216</v>
      </c>
      <c r="B221" t="s">
        <v>185</v>
      </c>
      <c r="C221">
        <v>9</v>
      </c>
      <c r="E221">
        <v>2</v>
      </c>
      <c r="G221">
        <v>7</v>
      </c>
      <c r="H221">
        <v>0</v>
      </c>
      <c r="O221" s="146"/>
      <c r="Q221" s="30">
        <f t="shared" si="7"/>
        <v>21</v>
      </c>
    </row>
    <row r="222" spans="1:17" hidden="1" x14ac:dyDescent="0.25">
      <c r="A222">
        <v>217</v>
      </c>
      <c r="B222" t="s">
        <v>2128</v>
      </c>
      <c r="C222">
        <v>4</v>
      </c>
      <c r="G222">
        <v>4</v>
      </c>
      <c r="H222">
        <v>0</v>
      </c>
      <c r="J222">
        <v>67</v>
      </c>
      <c r="N222" s="30">
        <v>59386</v>
      </c>
      <c r="O222" s="146">
        <f t="shared" si="6"/>
        <v>0</v>
      </c>
      <c r="Q222" s="30">
        <f t="shared" si="7"/>
        <v>22</v>
      </c>
    </row>
    <row r="223" spans="1:17" hidden="1" x14ac:dyDescent="0.25">
      <c r="A223">
        <v>218</v>
      </c>
      <c r="B223" t="s">
        <v>2129</v>
      </c>
      <c r="C223">
        <v>4</v>
      </c>
      <c r="G223">
        <v>1</v>
      </c>
      <c r="H223">
        <v>3</v>
      </c>
      <c r="J223">
        <v>359</v>
      </c>
      <c r="L223" s="30">
        <v>1149</v>
      </c>
      <c r="M223" s="30">
        <v>103133</v>
      </c>
      <c r="N223" s="30">
        <v>11141</v>
      </c>
      <c r="O223" s="146">
        <f t="shared" si="6"/>
        <v>0.10313257337761422</v>
      </c>
      <c r="Q223" s="30">
        <f t="shared" si="7"/>
        <v>23</v>
      </c>
    </row>
    <row r="224" spans="1:17" hidden="1" x14ac:dyDescent="0.25">
      <c r="A224">
        <v>219</v>
      </c>
      <c r="B224" t="s">
        <v>2130</v>
      </c>
      <c r="C224">
        <v>2</v>
      </c>
      <c r="G224">
        <v>2</v>
      </c>
      <c r="H224">
        <v>0</v>
      </c>
      <c r="J224">
        <v>10</v>
      </c>
      <c r="N224" s="30">
        <v>199061</v>
      </c>
      <c r="O224" s="146">
        <f t="shared" si="6"/>
        <v>0</v>
      </c>
      <c r="Q224" s="30">
        <f t="shared" si="7"/>
        <v>24</v>
      </c>
    </row>
    <row r="225" spans="1:17" hidden="1" x14ac:dyDescent="0.25">
      <c r="A225">
        <v>220</v>
      </c>
      <c r="B225" t="s">
        <v>2131</v>
      </c>
      <c r="C225">
        <v>1</v>
      </c>
      <c r="G225">
        <v>1</v>
      </c>
      <c r="H225">
        <v>0</v>
      </c>
      <c r="J225">
        <v>3</v>
      </c>
      <c r="N225" s="30">
        <v>310618</v>
      </c>
      <c r="O225" s="146">
        <f t="shared" si="6"/>
        <v>0</v>
      </c>
      <c r="Q225" s="30">
        <f t="shared" si="7"/>
        <v>25</v>
      </c>
    </row>
    <row r="226" spans="1:17" hidden="1" x14ac:dyDescent="0.25">
      <c r="B226" t="s">
        <v>234</v>
      </c>
      <c r="C226" s="30">
        <v>81370893</v>
      </c>
      <c r="D226" s="30">
        <v>237043</v>
      </c>
      <c r="E226" s="30">
        <v>1776284</v>
      </c>
      <c r="F226" s="30">
        <v>4761</v>
      </c>
      <c r="G226" s="30">
        <v>57484045</v>
      </c>
      <c r="H226" s="30">
        <v>22110564</v>
      </c>
      <c r="I226" s="30">
        <v>105289</v>
      </c>
      <c r="J226" s="208">
        <v>10439.1</v>
      </c>
      <c r="K226">
        <v>227.9</v>
      </c>
    </row>
  </sheetData>
  <autoFilter ref="A4:P226" xr:uid="{96BCEE91-1912-45AF-ACFA-64CBEE260075}">
    <filterColumn colId="15">
      <customFilters>
        <customFilter operator="notEqual" val=" "/>
      </customFilters>
    </filterColumn>
  </autoFilter>
  <sortState xmlns:xlrd2="http://schemas.microsoft.com/office/spreadsheetml/2017/richdata2" ref="A5:N225">
    <sortCondition ref="K5:K225"/>
  </sortState>
  <pageMargins left="0.7" right="0.7" top="0.75" bottom="0.75" header="0.3" footer="0.3"/>
  <pageSetup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3E2D3-909D-4A44-8CBD-AC42356D3858}">
  <dimension ref="A1:AS119"/>
  <sheetViews>
    <sheetView topLeftCell="A74" zoomScale="90" zoomScaleNormal="90" workbookViewId="0">
      <selection activeCell="A74" sqref="A74"/>
    </sheetView>
  </sheetViews>
  <sheetFormatPr defaultRowHeight="15" x14ac:dyDescent="0.25"/>
  <cols>
    <col min="1" max="1" width="4.42578125" customWidth="1"/>
    <col min="2" max="28" width="4.7109375" style="33" customWidth="1"/>
    <col min="29" max="49" width="4.7109375" customWidth="1"/>
  </cols>
  <sheetData>
    <row r="1" spans="1:38" x14ac:dyDescent="0.25">
      <c r="B1"/>
      <c r="AC1" s="33" t="s">
        <v>1414</v>
      </c>
    </row>
    <row r="2" spans="1:38" x14ac:dyDescent="0.25">
      <c r="A2" s="185" t="s">
        <v>2260</v>
      </c>
      <c r="AC2" s="33">
        <f>27*6*7*6*6/2</f>
        <v>20412</v>
      </c>
    </row>
    <row r="3" spans="1:38" x14ac:dyDescent="0.25">
      <c r="A3" s="185"/>
    </row>
    <row r="4" spans="1:38" x14ac:dyDescent="0.25">
      <c r="B4" s="33">
        <v>1</v>
      </c>
      <c r="C4" s="33">
        <f>B4+1</f>
        <v>2</v>
      </c>
      <c r="D4" s="33">
        <f t="shared" ref="D4:AB4" si="0">C4+1</f>
        <v>3</v>
      </c>
      <c r="E4" s="33">
        <f t="shared" si="0"/>
        <v>4</v>
      </c>
      <c r="F4" s="33">
        <f t="shared" si="0"/>
        <v>5</v>
      </c>
      <c r="G4" s="33">
        <f t="shared" si="0"/>
        <v>6</v>
      </c>
      <c r="H4" s="33">
        <f t="shared" si="0"/>
        <v>7</v>
      </c>
      <c r="I4" s="33">
        <f t="shared" si="0"/>
        <v>8</v>
      </c>
      <c r="J4" s="33">
        <f t="shared" si="0"/>
        <v>9</v>
      </c>
      <c r="K4" s="33">
        <f t="shared" si="0"/>
        <v>10</v>
      </c>
      <c r="L4" s="33">
        <f t="shared" si="0"/>
        <v>11</v>
      </c>
      <c r="M4" s="33">
        <f t="shared" si="0"/>
        <v>12</v>
      </c>
      <c r="N4" s="33">
        <f t="shared" si="0"/>
        <v>13</v>
      </c>
      <c r="O4" s="33">
        <f t="shared" si="0"/>
        <v>14</v>
      </c>
      <c r="P4" s="33">
        <f t="shared" si="0"/>
        <v>15</v>
      </c>
      <c r="Q4" s="33">
        <f t="shared" si="0"/>
        <v>16</v>
      </c>
      <c r="R4" s="33">
        <f t="shared" si="0"/>
        <v>17</v>
      </c>
      <c r="S4" s="33">
        <f t="shared" si="0"/>
        <v>18</v>
      </c>
      <c r="T4" s="33">
        <f t="shared" si="0"/>
        <v>19</v>
      </c>
      <c r="U4" s="33">
        <f t="shared" si="0"/>
        <v>20</v>
      </c>
      <c r="V4" s="33">
        <f t="shared" si="0"/>
        <v>21</v>
      </c>
      <c r="W4" s="33">
        <f t="shared" si="0"/>
        <v>22</v>
      </c>
      <c r="X4" s="33">
        <f t="shared" si="0"/>
        <v>23</v>
      </c>
      <c r="Y4" s="33">
        <f t="shared" si="0"/>
        <v>24</v>
      </c>
      <c r="Z4" s="33">
        <f t="shared" si="0"/>
        <v>25</v>
      </c>
      <c r="AA4" s="33">
        <f t="shared" si="0"/>
        <v>26</v>
      </c>
      <c r="AB4" s="33">
        <f t="shared" si="0"/>
        <v>27</v>
      </c>
      <c r="AC4" s="33" t="s">
        <v>2258</v>
      </c>
      <c r="AE4" t="s">
        <v>242</v>
      </c>
      <c r="AF4" t="s">
        <v>244</v>
      </c>
      <c r="AG4" t="s">
        <v>247</v>
      </c>
      <c r="AI4" t="s">
        <v>250</v>
      </c>
      <c r="AJ4" t="s">
        <v>253</v>
      </c>
      <c r="AK4" t="s">
        <v>256</v>
      </c>
    </row>
    <row r="5" spans="1:38" x14ac:dyDescent="0.25">
      <c r="A5" t="s">
        <v>256</v>
      </c>
      <c r="B5" s="239">
        <v>10</v>
      </c>
      <c r="C5" s="239">
        <v>10</v>
      </c>
      <c r="D5" s="239">
        <v>10</v>
      </c>
      <c r="E5" s="239">
        <v>10</v>
      </c>
      <c r="F5" s="239">
        <v>10</v>
      </c>
      <c r="G5" s="238">
        <v>20</v>
      </c>
      <c r="H5" s="237">
        <v>30</v>
      </c>
      <c r="I5" s="237">
        <v>30</v>
      </c>
      <c r="J5" s="237">
        <v>30</v>
      </c>
      <c r="K5" s="238">
        <v>20</v>
      </c>
      <c r="L5" s="236">
        <v>40</v>
      </c>
      <c r="M5" s="236">
        <v>40</v>
      </c>
      <c r="N5" s="235">
        <v>50</v>
      </c>
      <c r="O5" s="236">
        <v>40</v>
      </c>
      <c r="P5" s="236">
        <v>40</v>
      </c>
      <c r="Q5" s="239">
        <v>10</v>
      </c>
      <c r="R5" s="239">
        <v>10</v>
      </c>
      <c r="S5" s="239">
        <v>10</v>
      </c>
      <c r="T5" s="239">
        <v>10</v>
      </c>
      <c r="U5" s="239">
        <v>10</v>
      </c>
      <c r="V5" s="239">
        <v>10</v>
      </c>
      <c r="W5" s="239">
        <v>10</v>
      </c>
      <c r="X5" s="239">
        <v>10</v>
      </c>
      <c r="Y5" s="239">
        <v>10</v>
      </c>
      <c r="Z5" s="239">
        <v>10</v>
      </c>
      <c r="AA5" s="239">
        <v>10</v>
      </c>
      <c r="AB5" s="239">
        <v>10</v>
      </c>
      <c r="AC5" s="33">
        <f>27*6*0.06</f>
        <v>9.7199999999999989</v>
      </c>
      <c r="AD5" s="33">
        <v>1</v>
      </c>
      <c r="AE5" s="239">
        <v>10</v>
      </c>
      <c r="AF5" s="236">
        <v>40</v>
      </c>
      <c r="AG5" s="237">
        <v>30</v>
      </c>
      <c r="AH5" s="33"/>
      <c r="AI5" s="237">
        <v>30</v>
      </c>
      <c r="AJ5" s="237">
        <v>30</v>
      </c>
      <c r="AK5" s="239">
        <v>10</v>
      </c>
      <c r="AL5" s="33"/>
    </row>
    <row r="6" spans="1:38" x14ac:dyDescent="0.25">
      <c r="A6" t="s">
        <v>253</v>
      </c>
      <c r="B6" s="237">
        <v>30</v>
      </c>
      <c r="C6" s="237">
        <v>30</v>
      </c>
      <c r="D6" s="237">
        <v>30</v>
      </c>
      <c r="E6" s="237">
        <v>30</v>
      </c>
      <c r="F6" s="237">
        <v>30</v>
      </c>
      <c r="G6" s="237">
        <v>30</v>
      </c>
      <c r="H6" s="236">
        <v>40</v>
      </c>
      <c r="I6" s="236">
        <v>40</v>
      </c>
      <c r="J6" s="235">
        <v>50</v>
      </c>
      <c r="K6" s="235">
        <v>50</v>
      </c>
      <c r="L6" s="234">
        <v>60</v>
      </c>
      <c r="M6" s="234">
        <v>60</v>
      </c>
      <c r="N6" s="231">
        <v>90</v>
      </c>
      <c r="O6" s="231">
        <v>90</v>
      </c>
      <c r="P6" s="231">
        <v>90</v>
      </c>
      <c r="Q6" s="233">
        <v>70</v>
      </c>
      <c r="R6" s="233">
        <v>70</v>
      </c>
      <c r="S6" s="233">
        <v>70</v>
      </c>
      <c r="T6" s="234">
        <v>60</v>
      </c>
      <c r="U6" s="234">
        <v>60</v>
      </c>
      <c r="V6" s="234">
        <v>60</v>
      </c>
      <c r="W6" s="234">
        <v>60</v>
      </c>
      <c r="X6" s="234">
        <v>60</v>
      </c>
      <c r="Y6" s="234">
        <v>60</v>
      </c>
      <c r="Z6" s="234">
        <v>60</v>
      </c>
      <c r="AA6" s="234">
        <v>60</v>
      </c>
      <c r="AB6" s="234">
        <v>60</v>
      </c>
      <c r="AD6" s="33">
        <f t="shared" ref="AD6:AD31" si="1">AD5+1</f>
        <v>2</v>
      </c>
      <c r="AE6" s="239">
        <v>10</v>
      </c>
      <c r="AF6" s="237">
        <v>30</v>
      </c>
      <c r="AG6" s="237">
        <v>30</v>
      </c>
      <c r="AH6" s="33"/>
      <c r="AI6" s="237">
        <v>30</v>
      </c>
      <c r="AJ6" s="237">
        <v>30</v>
      </c>
      <c r="AK6" s="239">
        <v>10</v>
      </c>
      <c r="AL6" s="33"/>
    </row>
    <row r="7" spans="1:38" x14ac:dyDescent="0.25">
      <c r="A7" t="s">
        <v>250</v>
      </c>
      <c r="B7" s="237">
        <v>30</v>
      </c>
      <c r="C7" s="237">
        <v>30</v>
      </c>
      <c r="D7" s="237">
        <v>30</v>
      </c>
      <c r="E7" s="236">
        <v>40</v>
      </c>
      <c r="F7" s="235">
        <v>50</v>
      </c>
      <c r="G7" s="236">
        <v>40</v>
      </c>
      <c r="H7" s="235">
        <v>50</v>
      </c>
      <c r="I7" s="235">
        <v>50</v>
      </c>
      <c r="J7" s="234">
        <v>60</v>
      </c>
      <c r="K7" s="234">
        <v>60</v>
      </c>
      <c r="L7" s="234">
        <v>60</v>
      </c>
      <c r="M7" s="234">
        <v>60</v>
      </c>
      <c r="N7" s="230">
        <v>100</v>
      </c>
      <c r="O7" s="230">
        <v>100</v>
      </c>
      <c r="P7" s="230">
        <v>100</v>
      </c>
      <c r="Q7" s="232">
        <v>80</v>
      </c>
      <c r="R7" s="232">
        <v>80</v>
      </c>
      <c r="S7" s="233">
        <v>70</v>
      </c>
      <c r="T7" s="233">
        <v>70</v>
      </c>
      <c r="U7" s="234">
        <v>60</v>
      </c>
      <c r="V7" s="234">
        <v>60</v>
      </c>
      <c r="W7" s="234">
        <v>60</v>
      </c>
      <c r="X7" s="234">
        <v>60</v>
      </c>
      <c r="Y7" s="234">
        <v>60</v>
      </c>
      <c r="Z7" s="234">
        <v>60</v>
      </c>
      <c r="AA7" s="234">
        <v>60</v>
      </c>
      <c r="AB7" s="234">
        <v>60</v>
      </c>
      <c r="AD7" s="33">
        <f t="shared" si="1"/>
        <v>3</v>
      </c>
      <c r="AE7" s="239">
        <v>10</v>
      </c>
      <c r="AF7" s="237">
        <v>30</v>
      </c>
      <c r="AG7" s="237">
        <v>30</v>
      </c>
      <c r="AH7" s="33"/>
      <c r="AI7" s="237">
        <v>30</v>
      </c>
      <c r="AJ7" s="237">
        <v>30</v>
      </c>
      <c r="AK7" s="239">
        <v>10</v>
      </c>
      <c r="AL7" s="33"/>
    </row>
    <row r="8" spans="1:38" x14ac:dyDescent="0.25">
      <c r="AA8" s="47" t="s">
        <v>2249</v>
      </c>
      <c r="AB8" s="230">
        <v>100</v>
      </c>
      <c r="AD8" s="33">
        <f t="shared" si="1"/>
        <v>4</v>
      </c>
      <c r="AE8" s="239">
        <v>10</v>
      </c>
      <c r="AF8" s="237">
        <v>30</v>
      </c>
      <c r="AG8" s="236">
        <v>40</v>
      </c>
      <c r="AH8" s="33"/>
      <c r="AI8" s="236">
        <v>40</v>
      </c>
      <c r="AJ8" s="237">
        <v>30</v>
      </c>
      <c r="AK8" s="239">
        <v>10</v>
      </c>
      <c r="AL8" s="33"/>
    </row>
    <row r="9" spans="1:38" x14ac:dyDescent="0.25">
      <c r="A9" t="s">
        <v>247</v>
      </c>
      <c r="B9" s="237">
        <v>30</v>
      </c>
      <c r="C9" s="237">
        <v>30</v>
      </c>
      <c r="D9" s="237">
        <v>30</v>
      </c>
      <c r="E9" s="236">
        <v>40</v>
      </c>
      <c r="F9" s="236">
        <v>40</v>
      </c>
      <c r="G9" s="236">
        <v>40</v>
      </c>
      <c r="H9" s="235">
        <v>50</v>
      </c>
      <c r="I9" s="234">
        <v>60</v>
      </c>
      <c r="J9" s="233">
        <v>70</v>
      </c>
      <c r="K9" s="234">
        <v>60</v>
      </c>
      <c r="L9" s="234">
        <v>60</v>
      </c>
      <c r="M9" s="234">
        <v>60</v>
      </c>
      <c r="N9" s="230">
        <v>100</v>
      </c>
      <c r="O9" s="230" t="s">
        <v>264</v>
      </c>
      <c r="P9" s="230">
        <v>100</v>
      </c>
      <c r="Q9" s="232">
        <v>80</v>
      </c>
      <c r="R9" s="232">
        <v>80</v>
      </c>
      <c r="S9" s="233">
        <v>70</v>
      </c>
      <c r="T9" s="233">
        <v>70</v>
      </c>
      <c r="U9" s="234">
        <v>60</v>
      </c>
      <c r="V9" s="234">
        <v>60</v>
      </c>
      <c r="W9" s="234">
        <v>60</v>
      </c>
      <c r="X9" s="234">
        <v>60</v>
      </c>
      <c r="Y9" s="234">
        <v>60</v>
      </c>
      <c r="Z9" s="234">
        <v>60</v>
      </c>
      <c r="AA9" s="234">
        <v>60</v>
      </c>
      <c r="AB9" s="234">
        <v>60</v>
      </c>
      <c r="AD9" s="33">
        <f t="shared" si="1"/>
        <v>5</v>
      </c>
      <c r="AE9" s="239">
        <v>10</v>
      </c>
      <c r="AF9" s="237">
        <v>30</v>
      </c>
      <c r="AG9" s="236">
        <v>40</v>
      </c>
      <c r="AH9" s="33"/>
      <c r="AI9" s="235">
        <v>50</v>
      </c>
      <c r="AJ9" s="237">
        <v>30</v>
      </c>
      <c r="AK9" s="239">
        <v>10</v>
      </c>
      <c r="AL9" s="33"/>
    </row>
    <row r="10" spans="1:38" x14ac:dyDescent="0.25">
      <c r="A10" t="s">
        <v>244</v>
      </c>
      <c r="B10" s="236">
        <v>40</v>
      </c>
      <c r="C10" s="237">
        <v>30</v>
      </c>
      <c r="D10" s="237">
        <v>30</v>
      </c>
      <c r="E10" s="237">
        <v>30</v>
      </c>
      <c r="F10" s="237">
        <v>30</v>
      </c>
      <c r="G10" s="237">
        <v>30</v>
      </c>
      <c r="H10" s="236">
        <v>40</v>
      </c>
      <c r="I10" s="236">
        <v>40</v>
      </c>
      <c r="J10" s="235">
        <v>50</v>
      </c>
      <c r="K10" s="235">
        <v>50</v>
      </c>
      <c r="L10" s="234">
        <v>60</v>
      </c>
      <c r="M10" s="234">
        <v>60</v>
      </c>
      <c r="N10" s="230">
        <v>100</v>
      </c>
      <c r="O10" s="230">
        <v>100</v>
      </c>
      <c r="P10" s="230">
        <v>100</v>
      </c>
      <c r="Q10" s="233">
        <v>70</v>
      </c>
      <c r="R10" s="233">
        <v>70</v>
      </c>
      <c r="S10" s="233">
        <v>70</v>
      </c>
      <c r="T10" s="234">
        <v>60</v>
      </c>
      <c r="U10" s="234">
        <v>60</v>
      </c>
      <c r="V10" s="234">
        <v>60</v>
      </c>
      <c r="W10" s="234">
        <v>60</v>
      </c>
      <c r="X10" s="234">
        <v>60</v>
      </c>
      <c r="Y10" s="234">
        <v>60</v>
      </c>
      <c r="Z10" s="234">
        <v>60</v>
      </c>
      <c r="AA10" s="234">
        <v>60</v>
      </c>
      <c r="AB10" s="234">
        <v>60</v>
      </c>
      <c r="AD10" s="33">
        <f t="shared" si="1"/>
        <v>6</v>
      </c>
      <c r="AE10" s="238">
        <v>20</v>
      </c>
      <c r="AF10" s="237">
        <v>30</v>
      </c>
      <c r="AG10" s="236">
        <v>40</v>
      </c>
      <c r="AH10" s="33"/>
      <c r="AI10" s="236">
        <v>40</v>
      </c>
      <c r="AJ10" s="237">
        <v>30</v>
      </c>
      <c r="AK10" s="238">
        <v>20</v>
      </c>
      <c r="AL10" s="33"/>
    </row>
    <row r="11" spans="1:38" x14ac:dyDescent="0.25">
      <c r="A11" t="s">
        <v>242</v>
      </c>
      <c r="B11" s="239">
        <v>10</v>
      </c>
      <c r="C11" s="239">
        <v>10</v>
      </c>
      <c r="D11" s="239">
        <v>10</v>
      </c>
      <c r="E11" s="239">
        <v>10</v>
      </c>
      <c r="F11" s="239">
        <v>10</v>
      </c>
      <c r="G11" s="238">
        <v>20</v>
      </c>
      <c r="H11" s="237">
        <v>30</v>
      </c>
      <c r="I11" s="237">
        <v>30</v>
      </c>
      <c r="J11" s="237">
        <v>30</v>
      </c>
      <c r="K11" s="237">
        <v>30</v>
      </c>
      <c r="L11" s="236">
        <v>40</v>
      </c>
      <c r="M11" s="236">
        <v>40</v>
      </c>
      <c r="N11" s="230">
        <v>100</v>
      </c>
      <c r="O11" s="230">
        <v>100</v>
      </c>
      <c r="P11" s="230">
        <v>100</v>
      </c>
      <c r="Q11" s="239">
        <v>10</v>
      </c>
      <c r="R11" s="239">
        <v>10</v>
      </c>
      <c r="S11" s="239">
        <v>10</v>
      </c>
      <c r="T11" s="239">
        <v>10</v>
      </c>
      <c r="U11" s="239">
        <v>10</v>
      </c>
      <c r="V11" s="239">
        <v>10</v>
      </c>
      <c r="W11" s="239">
        <v>10</v>
      </c>
      <c r="X11" s="239">
        <v>10</v>
      </c>
      <c r="Y11" s="239">
        <v>10</v>
      </c>
      <c r="Z11" s="239">
        <v>10</v>
      </c>
      <c r="AA11" s="239">
        <v>10</v>
      </c>
      <c r="AB11" s="239">
        <v>10</v>
      </c>
      <c r="AD11" s="33">
        <f t="shared" si="1"/>
        <v>7</v>
      </c>
      <c r="AE11" s="237">
        <v>30</v>
      </c>
      <c r="AF11" s="236">
        <v>40</v>
      </c>
      <c r="AG11" s="235">
        <v>50</v>
      </c>
      <c r="AH11" s="33"/>
      <c r="AI11" s="235">
        <v>50</v>
      </c>
      <c r="AJ11" s="236">
        <v>40</v>
      </c>
      <c r="AK11" s="237">
        <v>30</v>
      </c>
      <c r="AL11" s="33"/>
    </row>
    <row r="12" spans="1:38" x14ac:dyDescent="0.25">
      <c r="AD12" s="33">
        <f t="shared" si="1"/>
        <v>8</v>
      </c>
      <c r="AE12" s="237">
        <v>30</v>
      </c>
      <c r="AF12" s="236">
        <v>40</v>
      </c>
      <c r="AG12" s="234">
        <v>60</v>
      </c>
      <c r="AH12" s="33"/>
      <c r="AI12" s="235">
        <v>50</v>
      </c>
      <c r="AJ12" s="236">
        <v>40</v>
      </c>
      <c r="AK12" s="237">
        <v>30</v>
      </c>
      <c r="AL12" s="33"/>
    </row>
    <row r="13" spans="1:38" x14ac:dyDescent="0.25">
      <c r="A13" t="s">
        <v>2257</v>
      </c>
      <c r="AD13" s="33">
        <f t="shared" si="1"/>
        <v>9</v>
      </c>
      <c r="AE13" s="237">
        <v>30</v>
      </c>
      <c r="AF13" s="235">
        <v>50</v>
      </c>
      <c r="AG13" s="233">
        <v>70</v>
      </c>
      <c r="AH13" s="33"/>
      <c r="AI13" s="234">
        <v>60</v>
      </c>
      <c r="AJ13" s="235">
        <v>50</v>
      </c>
      <c r="AK13" s="237">
        <v>30</v>
      </c>
      <c r="AL13" s="33"/>
    </row>
    <row r="14" spans="1:38" x14ac:dyDescent="0.25">
      <c r="A14" t="s">
        <v>2244</v>
      </c>
      <c r="AD14" s="33">
        <f t="shared" si="1"/>
        <v>10</v>
      </c>
      <c r="AE14" s="237">
        <v>30</v>
      </c>
      <c r="AF14" s="235">
        <v>50</v>
      </c>
      <c r="AG14" s="234">
        <v>60</v>
      </c>
      <c r="AH14" s="33"/>
      <c r="AI14" s="234">
        <v>60</v>
      </c>
      <c r="AJ14" s="235">
        <v>50</v>
      </c>
      <c r="AK14" s="238">
        <v>20</v>
      </c>
      <c r="AL14" s="33"/>
    </row>
    <row r="15" spans="1:38" x14ac:dyDescent="0.25">
      <c r="AD15" s="33">
        <f t="shared" si="1"/>
        <v>11</v>
      </c>
      <c r="AE15" s="236">
        <v>40</v>
      </c>
      <c r="AF15" s="234">
        <v>60</v>
      </c>
      <c r="AG15" s="234">
        <v>60</v>
      </c>
      <c r="AH15" s="33"/>
      <c r="AI15" s="234">
        <v>60</v>
      </c>
      <c r="AJ15" s="234">
        <v>60</v>
      </c>
      <c r="AK15" s="236">
        <v>40</v>
      </c>
      <c r="AL15" s="33"/>
    </row>
    <row r="16" spans="1:38" x14ac:dyDescent="0.25">
      <c r="A16" s="32" t="s">
        <v>1490</v>
      </c>
      <c r="B16" s="39" t="s">
        <v>2250</v>
      </c>
      <c r="D16" s="33" t="s">
        <v>2261</v>
      </c>
      <c r="E16" s="33" t="s">
        <v>1490</v>
      </c>
      <c r="F16" s="33" t="s">
        <v>2261</v>
      </c>
      <c r="AD16" s="33">
        <f t="shared" si="1"/>
        <v>12</v>
      </c>
      <c r="AE16" s="236">
        <v>40</v>
      </c>
      <c r="AF16" s="234">
        <v>60</v>
      </c>
      <c r="AG16" s="234">
        <v>60</v>
      </c>
      <c r="AH16" s="33"/>
      <c r="AI16" s="234">
        <v>60</v>
      </c>
      <c r="AJ16" s="234">
        <v>60</v>
      </c>
      <c r="AK16" s="236">
        <v>40</v>
      </c>
      <c r="AL16" s="33"/>
    </row>
    <row r="17" spans="1:38" x14ac:dyDescent="0.25">
      <c r="A17">
        <v>10</v>
      </c>
      <c r="B17" s="33">
        <f>COUNTIF($B$5:$AB$11, A17)</f>
        <v>34</v>
      </c>
      <c r="D17" s="33">
        <f>A17*B17/100</f>
        <v>3.4</v>
      </c>
      <c r="E17" s="33">
        <v>10</v>
      </c>
      <c r="F17" s="33">
        <f>D17*E17/100</f>
        <v>0.34</v>
      </c>
      <c r="AD17" s="33">
        <f t="shared" si="1"/>
        <v>13</v>
      </c>
      <c r="AE17" s="230">
        <v>100</v>
      </c>
      <c r="AF17" s="230">
        <v>100</v>
      </c>
      <c r="AG17" s="230">
        <v>100</v>
      </c>
      <c r="AH17" s="33"/>
      <c r="AI17" s="230">
        <v>100</v>
      </c>
      <c r="AJ17" s="231">
        <v>90</v>
      </c>
      <c r="AK17" s="235">
        <v>50</v>
      </c>
      <c r="AL17" s="33"/>
    </row>
    <row r="18" spans="1:38" x14ac:dyDescent="0.25">
      <c r="A18">
        <v>20</v>
      </c>
      <c r="B18" s="33">
        <f t="shared" ref="B18:B26" si="2">COUNTIF($B$5:$AB$11, A18)</f>
        <v>3</v>
      </c>
      <c r="D18" s="33">
        <f t="shared" ref="D18:D26" si="3">A18*B18/100</f>
        <v>0.6</v>
      </c>
      <c r="E18" s="33">
        <v>10</v>
      </c>
      <c r="F18" s="33">
        <f t="shared" ref="F18:F26" si="4">D18*E18/100</f>
        <v>0.06</v>
      </c>
      <c r="AD18" s="33">
        <f t="shared" si="1"/>
        <v>14</v>
      </c>
      <c r="AE18" s="230">
        <v>100</v>
      </c>
      <c r="AF18" s="230">
        <v>100</v>
      </c>
      <c r="AG18" s="230" t="s">
        <v>264</v>
      </c>
      <c r="AH18" s="33"/>
      <c r="AI18" s="230">
        <v>100</v>
      </c>
      <c r="AJ18" s="231">
        <v>90</v>
      </c>
      <c r="AK18" s="236">
        <v>40</v>
      </c>
      <c r="AL18" s="33"/>
    </row>
    <row r="19" spans="1:38" x14ac:dyDescent="0.25">
      <c r="A19">
        <v>30</v>
      </c>
      <c r="B19" s="33">
        <f t="shared" si="2"/>
        <v>24</v>
      </c>
      <c r="D19" s="33">
        <f t="shared" si="3"/>
        <v>7.2</v>
      </c>
      <c r="E19" s="33">
        <v>10</v>
      </c>
      <c r="F19" s="33">
        <f t="shared" si="4"/>
        <v>0.72</v>
      </c>
      <c r="AD19" s="33">
        <f t="shared" si="1"/>
        <v>15</v>
      </c>
      <c r="AE19" s="230">
        <v>100</v>
      </c>
      <c r="AF19" s="230">
        <v>100</v>
      </c>
      <c r="AG19" s="230">
        <v>100</v>
      </c>
      <c r="AH19" s="33"/>
      <c r="AI19" s="230">
        <v>100</v>
      </c>
      <c r="AJ19" s="231">
        <v>90</v>
      </c>
      <c r="AK19" s="236">
        <v>40</v>
      </c>
      <c r="AL19" s="33"/>
    </row>
    <row r="20" spans="1:38" x14ac:dyDescent="0.25">
      <c r="A20">
        <v>40</v>
      </c>
      <c r="B20" s="33">
        <f t="shared" si="2"/>
        <v>16</v>
      </c>
      <c r="D20" s="33">
        <f t="shared" si="3"/>
        <v>6.4</v>
      </c>
      <c r="E20" s="33">
        <v>10</v>
      </c>
      <c r="F20" s="33">
        <f t="shared" si="4"/>
        <v>0.64</v>
      </c>
      <c r="AD20" s="33">
        <f t="shared" si="1"/>
        <v>16</v>
      </c>
      <c r="AE20" s="239">
        <v>10</v>
      </c>
      <c r="AF20" s="233">
        <v>70</v>
      </c>
      <c r="AG20" s="232">
        <v>80</v>
      </c>
      <c r="AH20" s="33"/>
      <c r="AI20" s="232">
        <v>80</v>
      </c>
      <c r="AJ20" s="233">
        <v>70</v>
      </c>
      <c r="AK20" s="239">
        <v>10</v>
      </c>
      <c r="AL20" s="33"/>
    </row>
    <row r="21" spans="1:38" x14ac:dyDescent="0.25">
      <c r="A21">
        <v>50</v>
      </c>
      <c r="B21" s="33">
        <f t="shared" si="2"/>
        <v>9</v>
      </c>
      <c r="D21" s="33">
        <f t="shared" si="3"/>
        <v>4.5</v>
      </c>
      <c r="E21" s="33">
        <v>10</v>
      </c>
      <c r="F21" s="33">
        <f t="shared" si="4"/>
        <v>0.45</v>
      </c>
      <c r="AD21" s="33">
        <f t="shared" si="1"/>
        <v>17</v>
      </c>
      <c r="AE21" s="239">
        <v>10</v>
      </c>
      <c r="AF21" s="233">
        <v>70</v>
      </c>
      <c r="AG21" s="232">
        <v>80</v>
      </c>
      <c r="AH21" s="33"/>
      <c r="AI21" s="232">
        <v>80</v>
      </c>
      <c r="AJ21" s="233">
        <v>70</v>
      </c>
      <c r="AK21" s="239">
        <v>10</v>
      </c>
      <c r="AL21" s="33"/>
    </row>
    <row r="22" spans="1:38" x14ac:dyDescent="0.25">
      <c r="A22">
        <v>60</v>
      </c>
      <c r="B22" s="33">
        <f t="shared" si="2"/>
        <v>46</v>
      </c>
      <c r="D22" s="33">
        <f t="shared" si="3"/>
        <v>27.6</v>
      </c>
      <c r="E22" s="33">
        <v>10</v>
      </c>
      <c r="F22" s="33">
        <f t="shared" si="4"/>
        <v>2.76</v>
      </c>
      <c r="AD22" s="33">
        <f t="shared" si="1"/>
        <v>18</v>
      </c>
      <c r="AE22" s="239">
        <v>10</v>
      </c>
      <c r="AF22" s="233">
        <v>70</v>
      </c>
      <c r="AG22" s="233">
        <v>70</v>
      </c>
      <c r="AH22" s="33"/>
      <c r="AI22" s="233">
        <v>70</v>
      </c>
      <c r="AJ22" s="233">
        <v>70</v>
      </c>
      <c r="AK22" s="239">
        <v>10</v>
      </c>
      <c r="AL22" s="33"/>
    </row>
    <row r="23" spans="1:38" x14ac:dyDescent="0.25">
      <c r="A23">
        <v>70</v>
      </c>
      <c r="B23" s="33">
        <f t="shared" si="2"/>
        <v>11</v>
      </c>
      <c r="D23" s="33">
        <f t="shared" si="3"/>
        <v>7.7</v>
      </c>
      <c r="E23" s="33">
        <v>10</v>
      </c>
      <c r="F23" s="33">
        <f t="shared" si="4"/>
        <v>0.77</v>
      </c>
      <c r="AD23" s="33">
        <f t="shared" si="1"/>
        <v>19</v>
      </c>
      <c r="AE23" s="239">
        <v>10</v>
      </c>
      <c r="AF23" s="234">
        <v>60</v>
      </c>
      <c r="AG23" s="233">
        <v>70</v>
      </c>
      <c r="AH23" s="33"/>
      <c r="AI23" s="233">
        <v>70</v>
      </c>
      <c r="AJ23" s="234">
        <v>60</v>
      </c>
      <c r="AK23" s="239">
        <v>10</v>
      </c>
      <c r="AL23" s="33"/>
    </row>
    <row r="24" spans="1:38" x14ac:dyDescent="0.25">
      <c r="A24">
        <v>80</v>
      </c>
      <c r="B24" s="33">
        <f t="shared" si="2"/>
        <v>4</v>
      </c>
      <c r="D24" s="33">
        <f t="shared" si="3"/>
        <v>3.2</v>
      </c>
      <c r="E24" s="33">
        <v>10</v>
      </c>
      <c r="F24" s="33">
        <f t="shared" si="4"/>
        <v>0.32</v>
      </c>
      <c r="AD24" s="33">
        <f t="shared" si="1"/>
        <v>20</v>
      </c>
      <c r="AE24" s="239">
        <v>10</v>
      </c>
      <c r="AF24" s="234">
        <v>60</v>
      </c>
      <c r="AG24" s="234">
        <v>60</v>
      </c>
      <c r="AH24" s="33"/>
      <c r="AI24" s="234">
        <v>60</v>
      </c>
      <c r="AJ24" s="234">
        <v>60</v>
      </c>
      <c r="AK24" s="239">
        <v>10</v>
      </c>
      <c r="AL24" s="33"/>
    </row>
    <row r="25" spans="1:38" x14ac:dyDescent="0.25">
      <c r="A25">
        <v>90</v>
      </c>
      <c r="B25" s="33">
        <f t="shared" si="2"/>
        <v>3</v>
      </c>
      <c r="D25" s="33">
        <f t="shared" si="3"/>
        <v>2.7</v>
      </c>
      <c r="E25" s="33">
        <v>10</v>
      </c>
      <c r="F25" s="33">
        <f t="shared" si="4"/>
        <v>0.27</v>
      </c>
      <c r="AD25" s="33">
        <f t="shared" si="1"/>
        <v>21</v>
      </c>
      <c r="AE25" s="239">
        <v>10</v>
      </c>
      <c r="AF25" s="234">
        <v>60</v>
      </c>
      <c r="AG25" s="234">
        <v>60</v>
      </c>
      <c r="AH25" s="33"/>
      <c r="AI25" s="234">
        <v>60</v>
      </c>
      <c r="AJ25" s="234">
        <v>60</v>
      </c>
      <c r="AK25" s="239">
        <v>10</v>
      </c>
      <c r="AL25" s="33"/>
    </row>
    <row r="26" spans="1:38" x14ac:dyDescent="0.25">
      <c r="A26">
        <v>100</v>
      </c>
      <c r="B26" s="33">
        <f t="shared" si="2"/>
        <v>12</v>
      </c>
      <c r="D26" s="33">
        <f t="shared" si="3"/>
        <v>12</v>
      </c>
      <c r="E26" s="33">
        <v>100</v>
      </c>
      <c r="F26" s="33">
        <f t="shared" si="4"/>
        <v>12</v>
      </c>
      <c r="AD26" s="33">
        <f t="shared" si="1"/>
        <v>22</v>
      </c>
      <c r="AE26" s="239">
        <v>10</v>
      </c>
      <c r="AF26" s="234">
        <v>60</v>
      </c>
      <c r="AG26" s="234">
        <v>60</v>
      </c>
      <c r="AH26" s="33"/>
      <c r="AI26" s="234">
        <v>60</v>
      </c>
      <c r="AJ26" s="234">
        <v>60</v>
      </c>
      <c r="AK26" s="239">
        <v>10</v>
      </c>
      <c r="AL26" s="33"/>
    </row>
    <row r="27" spans="1:38" x14ac:dyDescent="0.25">
      <c r="C27" s="33" t="s">
        <v>2246</v>
      </c>
      <c r="D27" s="54">
        <f>SUM(D17:D26)</f>
        <v>75.300000000000011</v>
      </c>
      <c r="F27" s="54">
        <f>SUM(F17:F26)</f>
        <v>18.329999999999998</v>
      </c>
      <c r="AD27" s="33">
        <f t="shared" si="1"/>
        <v>23</v>
      </c>
      <c r="AE27" s="239">
        <v>10</v>
      </c>
      <c r="AF27" s="234">
        <v>60</v>
      </c>
      <c r="AG27" s="234">
        <v>60</v>
      </c>
      <c r="AH27" s="33"/>
      <c r="AI27" s="234">
        <v>60</v>
      </c>
      <c r="AJ27" s="234">
        <v>60</v>
      </c>
      <c r="AK27" s="239">
        <v>10</v>
      </c>
      <c r="AL27" s="33"/>
    </row>
    <row r="28" spans="1:38" x14ac:dyDescent="0.25">
      <c r="AD28" s="33">
        <f t="shared" si="1"/>
        <v>24</v>
      </c>
      <c r="AE28" s="239">
        <v>10</v>
      </c>
      <c r="AF28" s="234">
        <v>60</v>
      </c>
      <c r="AG28" s="234">
        <v>60</v>
      </c>
      <c r="AH28" s="33"/>
      <c r="AI28" s="234">
        <v>60</v>
      </c>
      <c r="AJ28" s="234">
        <v>60</v>
      </c>
      <c r="AK28" s="239">
        <v>10</v>
      </c>
      <c r="AL28" s="33"/>
    </row>
    <row r="29" spans="1:38" x14ac:dyDescent="0.25">
      <c r="AD29" s="33">
        <f t="shared" si="1"/>
        <v>25</v>
      </c>
      <c r="AE29" s="239">
        <v>10</v>
      </c>
      <c r="AF29" s="234">
        <v>60</v>
      </c>
      <c r="AG29" s="234">
        <v>60</v>
      </c>
      <c r="AH29" s="33"/>
      <c r="AI29" s="234">
        <v>60</v>
      </c>
      <c r="AJ29" s="234">
        <v>60</v>
      </c>
      <c r="AK29" s="239">
        <v>10</v>
      </c>
      <c r="AL29" s="33"/>
    </row>
    <row r="30" spans="1:38" x14ac:dyDescent="0.25">
      <c r="AD30" s="33">
        <f t="shared" si="1"/>
        <v>26</v>
      </c>
      <c r="AE30" s="239">
        <v>10</v>
      </c>
      <c r="AF30" s="234">
        <v>60</v>
      </c>
      <c r="AG30" s="234">
        <v>60</v>
      </c>
      <c r="AH30" s="47" t="s">
        <v>2249</v>
      </c>
      <c r="AI30" s="234">
        <v>60</v>
      </c>
      <c r="AJ30" s="234">
        <v>60</v>
      </c>
      <c r="AK30" s="239">
        <v>10</v>
      </c>
      <c r="AL30" s="33"/>
    </row>
    <row r="31" spans="1:38" x14ac:dyDescent="0.25">
      <c r="AD31" s="33">
        <f t="shared" si="1"/>
        <v>27</v>
      </c>
      <c r="AE31" s="239">
        <v>10</v>
      </c>
      <c r="AF31" s="234">
        <v>60</v>
      </c>
      <c r="AG31" s="234">
        <v>60</v>
      </c>
      <c r="AH31" s="230">
        <v>100</v>
      </c>
      <c r="AI31" s="234">
        <v>60</v>
      </c>
      <c r="AJ31" s="234">
        <v>60</v>
      </c>
      <c r="AK31" s="239">
        <v>10</v>
      </c>
      <c r="AL31" s="33"/>
    </row>
    <row r="34" spans="1:28" x14ac:dyDescent="0.25">
      <c r="A34" s="185" t="s">
        <v>2259</v>
      </c>
    </row>
    <row r="35" spans="1:28" x14ac:dyDescent="0.25">
      <c r="A35" s="185"/>
    </row>
    <row r="36" spans="1:28" x14ac:dyDescent="0.25">
      <c r="B36" s="33">
        <v>1</v>
      </c>
      <c r="C36" s="33">
        <f>B36+1</f>
        <v>2</v>
      </c>
      <c r="D36" s="33">
        <f t="shared" ref="D36" si="5">C36+1</f>
        <v>3</v>
      </c>
      <c r="E36" s="33">
        <f t="shared" ref="E36" si="6">D36+1</f>
        <v>4</v>
      </c>
      <c r="F36" s="33">
        <f t="shared" ref="F36" si="7">E36+1</f>
        <v>5</v>
      </c>
      <c r="G36" s="33">
        <f t="shared" ref="G36" si="8">F36+1</f>
        <v>6</v>
      </c>
      <c r="H36" s="33">
        <f t="shared" ref="H36" si="9">G36+1</f>
        <v>7</v>
      </c>
      <c r="I36" s="33">
        <f t="shared" ref="I36" si="10">H36+1</f>
        <v>8</v>
      </c>
      <c r="J36" s="33">
        <f t="shared" ref="J36" si="11">I36+1</f>
        <v>9</v>
      </c>
      <c r="K36" s="33">
        <f t="shared" ref="K36" si="12">J36+1</f>
        <v>10</v>
      </c>
      <c r="L36" s="33">
        <f t="shared" ref="L36" si="13">K36+1</f>
        <v>11</v>
      </c>
      <c r="M36" s="33">
        <f t="shared" ref="M36" si="14">L36+1</f>
        <v>12</v>
      </c>
      <c r="N36" s="33">
        <f t="shared" ref="N36" si="15">M36+1</f>
        <v>13</v>
      </c>
      <c r="O36" s="33">
        <f t="shared" ref="O36" si="16">N36+1</f>
        <v>14</v>
      </c>
      <c r="P36" s="33">
        <f t="shared" ref="P36" si="17">O36+1</f>
        <v>15</v>
      </c>
      <c r="Q36" s="33">
        <f t="shared" ref="Q36" si="18">P36+1</f>
        <v>16</v>
      </c>
      <c r="R36" s="33">
        <f t="shared" ref="R36" si="19">Q36+1</f>
        <v>17</v>
      </c>
      <c r="S36" s="33">
        <f t="shared" ref="S36" si="20">R36+1</f>
        <v>18</v>
      </c>
      <c r="T36" s="33">
        <f t="shared" ref="T36" si="21">S36+1</f>
        <v>19</v>
      </c>
      <c r="U36" s="33">
        <f t="shared" ref="U36" si="22">T36+1</f>
        <v>20</v>
      </c>
      <c r="V36" s="33">
        <f t="shared" ref="V36" si="23">U36+1</f>
        <v>21</v>
      </c>
      <c r="W36" s="33">
        <f t="shared" ref="W36" si="24">V36+1</f>
        <v>22</v>
      </c>
      <c r="X36" s="33">
        <f t="shared" ref="X36" si="25">W36+1</f>
        <v>23</v>
      </c>
      <c r="Y36" s="33">
        <f t="shared" ref="Y36" si="26">X36+1</f>
        <v>24</v>
      </c>
      <c r="Z36" s="33">
        <f t="shared" ref="Z36" si="27">Y36+1</f>
        <v>25</v>
      </c>
      <c r="AA36" s="33">
        <f t="shared" ref="AA36" si="28">Z36+1</f>
        <v>26</v>
      </c>
      <c r="AB36" s="33">
        <f t="shared" ref="AB36" si="29">AA36+1</f>
        <v>27</v>
      </c>
    </row>
    <row r="37" spans="1:28" x14ac:dyDescent="0.25">
      <c r="A37" t="s">
        <v>256</v>
      </c>
      <c r="B37" s="240">
        <v>1</v>
      </c>
      <c r="C37" s="240">
        <v>1</v>
      </c>
      <c r="D37" s="240">
        <v>1</v>
      </c>
      <c r="E37" s="240">
        <v>1</v>
      </c>
      <c r="F37" s="240">
        <v>1</v>
      </c>
      <c r="G37" s="240">
        <v>1</v>
      </c>
      <c r="H37" s="240">
        <v>1</v>
      </c>
      <c r="I37" s="240">
        <v>1</v>
      </c>
      <c r="J37" s="240">
        <v>1</v>
      </c>
      <c r="K37" s="240">
        <v>1</v>
      </c>
      <c r="L37" s="240">
        <v>1</v>
      </c>
      <c r="M37" s="240">
        <v>1</v>
      </c>
      <c r="N37" s="240">
        <v>1</v>
      </c>
      <c r="O37" s="240">
        <v>1</v>
      </c>
      <c r="P37" s="240">
        <v>1</v>
      </c>
      <c r="Q37" s="240">
        <v>1</v>
      </c>
      <c r="R37" s="240">
        <v>1</v>
      </c>
      <c r="S37" s="240">
        <v>1</v>
      </c>
      <c r="T37" s="240">
        <v>1</v>
      </c>
      <c r="U37" s="240">
        <v>1</v>
      </c>
      <c r="V37" s="240">
        <v>1</v>
      </c>
      <c r="W37" s="240">
        <v>1</v>
      </c>
      <c r="X37" s="240">
        <v>1</v>
      </c>
      <c r="Y37" s="240">
        <v>1</v>
      </c>
      <c r="Z37" s="240">
        <v>1</v>
      </c>
      <c r="AA37" s="240">
        <v>1</v>
      </c>
      <c r="AB37" s="240">
        <v>1</v>
      </c>
    </row>
    <row r="38" spans="1:28" x14ac:dyDescent="0.25">
      <c r="A38" t="s">
        <v>253</v>
      </c>
      <c r="B38" s="240">
        <v>1</v>
      </c>
      <c r="C38" s="240">
        <v>1</v>
      </c>
      <c r="D38" s="240">
        <v>1</v>
      </c>
      <c r="E38" s="240">
        <v>1</v>
      </c>
      <c r="F38" s="240">
        <v>1</v>
      </c>
      <c r="G38" s="238">
        <v>2</v>
      </c>
      <c r="H38" s="240">
        <v>1</v>
      </c>
      <c r="I38" s="240">
        <v>1</v>
      </c>
      <c r="J38" s="240">
        <v>1</v>
      </c>
      <c r="K38" s="240">
        <v>1</v>
      </c>
      <c r="L38" s="240">
        <v>1</v>
      </c>
      <c r="M38" s="240">
        <v>1</v>
      </c>
      <c r="N38" s="238">
        <v>2</v>
      </c>
      <c r="O38" s="237">
        <v>3</v>
      </c>
      <c r="P38" s="237">
        <v>3</v>
      </c>
      <c r="Q38" s="238">
        <v>2</v>
      </c>
      <c r="R38" s="238">
        <v>2</v>
      </c>
      <c r="S38" s="238">
        <v>2</v>
      </c>
      <c r="T38" s="240">
        <v>1</v>
      </c>
      <c r="U38" s="240">
        <v>1</v>
      </c>
      <c r="V38" s="240">
        <v>1</v>
      </c>
      <c r="W38" s="240">
        <v>1</v>
      </c>
      <c r="X38" s="240">
        <v>1</v>
      </c>
      <c r="Y38" s="238">
        <v>2</v>
      </c>
      <c r="Z38" s="238">
        <v>2</v>
      </c>
      <c r="AA38" s="238">
        <v>2</v>
      </c>
      <c r="AB38" s="238">
        <v>2</v>
      </c>
    </row>
    <row r="39" spans="1:28" x14ac:dyDescent="0.25">
      <c r="A39" t="s">
        <v>250</v>
      </c>
      <c r="B39" s="240">
        <v>1</v>
      </c>
      <c r="C39" s="240">
        <v>1</v>
      </c>
      <c r="D39" s="238">
        <v>2</v>
      </c>
      <c r="E39" s="238">
        <v>2</v>
      </c>
      <c r="F39" s="238">
        <v>2</v>
      </c>
      <c r="G39" s="238">
        <v>2</v>
      </c>
      <c r="H39" s="240">
        <v>1</v>
      </c>
      <c r="I39" s="240">
        <v>1</v>
      </c>
      <c r="J39" s="240">
        <v>1</v>
      </c>
      <c r="K39" s="240">
        <v>1</v>
      </c>
      <c r="L39" s="240">
        <v>1</v>
      </c>
      <c r="M39" s="240">
        <v>1</v>
      </c>
      <c r="N39" s="230">
        <v>100</v>
      </c>
      <c r="O39" s="230">
        <v>100</v>
      </c>
      <c r="P39" s="230">
        <v>100</v>
      </c>
      <c r="Q39" s="238">
        <v>2</v>
      </c>
      <c r="R39" s="237">
        <v>3</v>
      </c>
      <c r="S39" s="237">
        <v>3</v>
      </c>
      <c r="T39" s="237">
        <v>3</v>
      </c>
      <c r="U39" s="240">
        <v>1</v>
      </c>
      <c r="V39" s="240">
        <v>1</v>
      </c>
      <c r="W39" s="240">
        <v>1</v>
      </c>
      <c r="X39" s="240">
        <v>1</v>
      </c>
      <c r="Y39" s="238">
        <v>2</v>
      </c>
      <c r="Z39" s="238">
        <v>2</v>
      </c>
      <c r="AA39" s="238">
        <v>2</v>
      </c>
      <c r="AB39" s="238">
        <v>2</v>
      </c>
    </row>
    <row r="40" spans="1:28" x14ac:dyDescent="0.25">
      <c r="AA40" s="47" t="s">
        <v>2249</v>
      </c>
      <c r="AB40" s="241">
        <v>40</v>
      </c>
    </row>
    <row r="41" spans="1:28" x14ac:dyDescent="0.25">
      <c r="A41" t="s">
        <v>247</v>
      </c>
      <c r="B41" s="240">
        <v>1</v>
      </c>
      <c r="C41" s="240">
        <v>1</v>
      </c>
      <c r="D41" s="238">
        <v>2</v>
      </c>
      <c r="E41" s="238">
        <v>2</v>
      </c>
      <c r="F41" s="238">
        <v>2</v>
      </c>
      <c r="G41" s="240">
        <v>1</v>
      </c>
      <c r="H41" s="240">
        <v>1</v>
      </c>
      <c r="I41" s="240">
        <v>1</v>
      </c>
      <c r="J41" s="240">
        <v>1</v>
      </c>
      <c r="K41" s="240">
        <v>1</v>
      </c>
      <c r="L41" s="240">
        <v>1</v>
      </c>
      <c r="M41" s="240">
        <v>1</v>
      </c>
      <c r="N41" s="230">
        <v>100</v>
      </c>
      <c r="O41" s="230" t="s">
        <v>264</v>
      </c>
      <c r="P41" s="230">
        <v>100</v>
      </c>
      <c r="Q41" s="238">
        <v>2</v>
      </c>
      <c r="R41" s="237">
        <v>3</v>
      </c>
      <c r="S41" s="237">
        <v>3</v>
      </c>
      <c r="T41" s="237">
        <v>3</v>
      </c>
      <c r="U41" s="240">
        <v>1</v>
      </c>
      <c r="V41" s="240">
        <v>1</v>
      </c>
      <c r="W41" s="240">
        <v>1</v>
      </c>
      <c r="X41" s="240">
        <v>1</v>
      </c>
      <c r="Y41" s="238">
        <v>2</v>
      </c>
      <c r="Z41" s="238">
        <v>2</v>
      </c>
      <c r="AA41" s="238">
        <v>2</v>
      </c>
      <c r="AB41" s="238">
        <v>2</v>
      </c>
    </row>
    <row r="42" spans="1:28" x14ac:dyDescent="0.25">
      <c r="A42" t="s">
        <v>244</v>
      </c>
      <c r="B42" s="240">
        <v>1</v>
      </c>
      <c r="C42" s="240">
        <v>1</v>
      </c>
      <c r="D42" s="240">
        <v>1</v>
      </c>
      <c r="E42" s="240">
        <v>1</v>
      </c>
      <c r="F42" s="238">
        <v>2</v>
      </c>
      <c r="G42" s="240">
        <v>1</v>
      </c>
      <c r="H42" s="240">
        <v>1</v>
      </c>
      <c r="I42" s="240">
        <v>1</v>
      </c>
      <c r="J42" s="240">
        <v>1</v>
      </c>
      <c r="K42" s="240">
        <v>1</v>
      </c>
      <c r="L42" s="240">
        <v>1</v>
      </c>
      <c r="M42" s="240">
        <v>1</v>
      </c>
      <c r="N42" s="230">
        <v>100</v>
      </c>
      <c r="O42" s="230">
        <v>100</v>
      </c>
      <c r="P42" s="230">
        <v>100</v>
      </c>
      <c r="Q42" s="238">
        <v>2</v>
      </c>
      <c r="R42" s="238">
        <v>2</v>
      </c>
      <c r="S42" s="238">
        <v>2</v>
      </c>
      <c r="T42" s="240">
        <v>1</v>
      </c>
      <c r="U42" s="240">
        <v>1</v>
      </c>
      <c r="V42" s="240">
        <v>1</v>
      </c>
      <c r="W42" s="240">
        <v>1</v>
      </c>
      <c r="X42" s="240">
        <v>1</v>
      </c>
      <c r="Y42" s="238">
        <v>2</v>
      </c>
      <c r="Z42" s="238">
        <v>2</v>
      </c>
      <c r="AA42" s="238">
        <v>2</v>
      </c>
      <c r="AB42" s="238">
        <v>2</v>
      </c>
    </row>
    <row r="43" spans="1:28" x14ac:dyDescent="0.25">
      <c r="A43" t="s">
        <v>242</v>
      </c>
      <c r="B43" s="240">
        <v>1</v>
      </c>
      <c r="C43" s="240">
        <v>1</v>
      </c>
      <c r="D43" s="240">
        <v>1</v>
      </c>
      <c r="E43" s="240">
        <v>1</v>
      </c>
      <c r="F43" s="240">
        <v>1</v>
      </c>
      <c r="G43" s="240">
        <v>1</v>
      </c>
      <c r="H43" s="240">
        <v>1</v>
      </c>
      <c r="I43" s="240">
        <v>1</v>
      </c>
      <c r="J43" s="240">
        <v>1</v>
      </c>
      <c r="K43" s="240">
        <v>1</v>
      </c>
      <c r="L43" s="240">
        <v>1</v>
      </c>
      <c r="M43" s="240">
        <v>1</v>
      </c>
      <c r="N43" s="230">
        <v>100</v>
      </c>
      <c r="O43" s="230">
        <v>100</v>
      </c>
      <c r="P43" s="230">
        <v>100</v>
      </c>
      <c r="Q43" s="240">
        <v>1</v>
      </c>
      <c r="R43" s="240">
        <v>1</v>
      </c>
      <c r="S43" s="240">
        <v>1</v>
      </c>
      <c r="T43" s="240">
        <v>1</v>
      </c>
      <c r="U43" s="240">
        <v>1</v>
      </c>
      <c r="V43" s="240">
        <v>1</v>
      </c>
      <c r="W43" s="240">
        <v>1</v>
      </c>
      <c r="X43" s="240">
        <v>1</v>
      </c>
      <c r="Y43" s="240">
        <v>1</v>
      </c>
      <c r="Z43" s="240">
        <v>1</v>
      </c>
      <c r="AA43" s="240">
        <v>1</v>
      </c>
      <c r="AB43" s="240">
        <v>1</v>
      </c>
    </row>
    <row r="45" spans="1:28" x14ac:dyDescent="0.25">
      <c r="A45" t="s">
        <v>2257</v>
      </c>
    </row>
    <row r="46" spans="1:28" x14ac:dyDescent="0.25">
      <c r="A46" t="s">
        <v>2244</v>
      </c>
    </row>
    <row r="48" spans="1:28" x14ac:dyDescent="0.25">
      <c r="A48" s="32" t="s">
        <v>1490</v>
      </c>
      <c r="B48" s="39" t="s">
        <v>2250</v>
      </c>
      <c r="D48" s="33" t="s">
        <v>2261</v>
      </c>
    </row>
    <row r="49" spans="1:31" x14ac:dyDescent="0.25">
      <c r="A49">
        <v>1</v>
      </c>
      <c r="B49" s="33">
        <f>COUNTIF($B$37:$AB$43, A49)</f>
        <v>108</v>
      </c>
      <c r="D49" s="33">
        <f>A49*B49/100</f>
        <v>1.08</v>
      </c>
    </row>
    <row r="50" spans="1:31" x14ac:dyDescent="0.25">
      <c r="A50">
        <v>2</v>
      </c>
      <c r="B50" s="33">
        <f t="shared" ref="B50:B58" si="30">COUNTIF($B$37:$AB$43, A50)</f>
        <v>34</v>
      </c>
      <c r="D50" s="33">
        <f t="shared" ref="D50:D58" si="31">A50*B50/100</f>
        <v>0.68</v>
      </c>
    </row>
    <row r="51" spans="1:31" x14ac:dyDescent="0.25">
      <c r="A51">
        <v>3</v>
      </c>
      <c r="B51" s="33">
        <f t="shared" si="30"/>
        <v>8</v>
      </c>
      <c r="D51" s="33">
        <f t="shared" si="31"/>
        <v>0.24</v>
      </c>
    </row>
    <row r="52" spans="1:31" x14ac:dyDescent="0.25">
      <c r="A52">
        <v>40</v>
      </c>
      <c r="B52" s="33">
        <f t="shared" si="30"/>
        <v>1</v>
      </c>
      <c r="D52" s="33">
        <f t="shared" si="31"/>
        <v>0.4</v>
      </c>
    </row>
    <row r="53" spans="1:31" x14ac:dyDescent="0.25">
      <c r="A53">
        <v>50</v>
      </c>
      <c r="B53" s="33">
        <f t="shared" si="30"/>
        <v>0</v>
      </c>
      <c r="D53" s="33">
        <f t="shared" si="31"/>
        <v>0</v>
      </c>
    </row>
    <row r="54" spans="1:31" x14ac:dyDescent="0.25">
      <c r="A54">
        <v>60</v>
      </c>
      <c r="B54" s="33">
        <f t="shared" si="30"/>
        <v>0</v>
      </c>
      <c r="D54" s="33">
        <f t="shared" si="31"/>
        <v>0</v>
      </c>
    </row>
    <row r="55" spans="1:31" x14ac:dyDescent="0.25">
      <c r="A55">
        <v>70</v>
      </c>
      <c r="B55" s="33">
        <f t="shared" si="30"/>
        <v>0</v>
      </c>
      <c r="D55" s="33">
        <f t="shared" si="31"/>
        <v>0</v>
      </c>
    </row>
    <row r="56" spans="1:31" x14ac:dyDescent="0.25">
      <c r="A56">
        <v>80</v>
      </c>
      <c r="B56" s="33">
        <f t="shared" si="30"/>
        <v>0</v>
      </c>
      <c r="D56" s="33">
        <f t="shared" si="31"/>
        <v>0</v>
      </c>
    </row>
    <row r="57" spans="1:31" x14ac:dyDescent="0.25">
      <c r="A57">
        <v>90</v>
      </c>
      <c r="B57" s="33">
        <f t="shared" si="30"/>
        <v>0</v>
      </c>
      <c r="D57" s="33">
        <f t="shared" si="31"/>
        <v>0</v>
      </c>
    </row>
    <row r="58" spans="1:31" x14ac:dyDescent="0.25">
      <c r="A58">
        <v>100</v>
      </c>
      <c r="B58" s="33">
        <f t="shared" si="30"/>
        <v>11</v>
      </c>
      <c r="D58" s="33">
        <f t="shared" si="31"/>
        <v>11</v>
      </c>
    </row>
    <row r="59" spans="1:31" x14ac:dyDescent="0.25">
      <c r="C59" s="33" t="s">
        <v>2246</v>
      </c>
      <c r="D59" s="33">
        <f>SUM(D49:D58)</f>
        <v>13.4</v>
      </c>
    </row>
    <row r="61" spans="1:31" x14ac:dyDescent="0.25">
      <c r="A61" t="s">
        <v>2286</v>
      </c>
    </row>
    <row r="63" spans="1:31" x14ac:dyDescent="0.25">
      <c r="D63" s="33">
        <v>1</v>
      </c>
      <c r="E63" s="33">
        <f>D63+1</f>
        <v>2</v>
      </c>
      <c r="G63" s="33">
        <f>E63+1</f>
        <v>3</v>
      </c>
      <c r="H63" s="33">
        <f t="shared" ref="H63" si="32">G63+1</f>
        <v>4</v>
      </c>
      <c r="I63" s="33">
        <f t="shared" ref="I63" si="33">H63+1</f>
        <v>5</v>
      </c>
      <c r="J63" s="33">
        <f t="shared" ref="J63" si="34">I63+1</f>
        <v>6</v>
      </c>
      <c r="K63" s="33">
        <f t="shared" ref="K63" si="35">J63+1</f>
        <v>7</v>
      </c>
      <c r="L63" s="33">
        <f t="shared" ref="L63" si="36">K63+1</f>
        <v>8</v>
      </c>
      <c r="M63" s="33">
        <f t="shared" ref="M63" si="37">L63+1</f>
        <v>9</v>
      </c>
      <c r="N63" s="33">
        <f t="shared" ref="N63" si="38">M63+1</f>
        <v>10</v>
      </c>
      <c r="O63" s="33">
        <f t="shared" ref="O63" si="39">N63+1</f>
        <v>11</v>
      </c>
      <c r="P63" s="33">
        <f>O63+1</f>
        <v>12</v>
      </c>
      <c r="R63" s="33">
        <f>P63+1</f>
        <v>13</v>
      </c>
      <c r="S63" s="33">
        <f t="shared" ref="S63" si="40">R63+1</f>
        <v>14</v>
      </c>
      <c r="T63" s="33">
        <f t="shared" ref="T63" si="41">S63+1</f>
        <v>15</v>
      </c>
      <c r="U63" s="33">
        <f t="shared" ref="U63" si="42">T63+1</f>
        <v>16</v>
      </c>
      <c r="V63" s="33">
        <f t="shared" ref="V63" si="43">U63+1</f>
        <v>17</v>
      </c>
      <c r="W63" s="33">
        <f t="shared" ref="W63" si="44">V63+1</f>
        <v>18</v>
      </c>
      <c r="X63" s="33">
        <f t="shared" ref="X63" si="45">W63+1</f>
        <v>19</v>
      </c>
      <c r="Y63" s="33">
        <f t="shared" ref="Y63" si="46">X63+1</f>
        <v>20</v>
      </c>
      <c r="Z63" s="33">
        <f t="shared" ref="Z63" si="47">Y63+1</f>
        <v>21</v>
      </c>
      <c r="AA63" s="33">
        <f t="shared" ref="AA63" si="48">Z63+1</f>
        <v>22</v>
      </c>
      <c r="AC63" s="33"/>
      <c r="AD63" s="33"/>
      <c r="AE63" s="33"/>
    </row>
    <row r="64" spans="1:31" x14ac:dyDescent="0.25">
      <c r="D64" s="244" t="s">
        <v>1739</v>
      </c>
      <c r="E64" s="244" t="s">
        <v>1739</v>
      </c>
      <c r="F64" s="33" t="s">
        <v>256</v>
      </c>
      <c r="G64" s="244" t="s">
        <v>1739</v>
      </c>
      <c r="H64" s="245" t="s">
        <v>2270</v>
      </c>
      <c r="I64" s="235" t="s">
        <v>2268</v>
      </c>
      <c r="J64" s="245" t="s">
        <v>2270</v>
      </c>
      <c r="K64" s="245" t="s">
        <v>2270</v>
      </c>
      <c r="L64" s="245" t="s">
        <v>2270</v>
      </c>
      <c r="M64" s="242" t="s">
        <v>2264</v>
      </c>
      <c r="N64" s="242" t="s">
        <v>2264</v>
      </c>
      <c r="O64" s="235" t="s">
        <v>2268</v>
      </c>
      <c r="P64" s="235" t="s">
        <v>2268</v>
      </c>
      <c r="R64" s="242" t="s">
        <v>2264</v>
      </c>
      <c r="S64" s="235" t="s">
        <v>2268</v>
      </c>
      <c r="T64" s="235" t="s">
        <v>2268</v>
      </c>
      <c r="U64" s="235" t="s">
        <v>2268</v>
      </c>
      <c r="V64" s="235" t="s">
        <v>2268</v>
      </c>
      <c r="W64" s="235" t="s">
        <v>2268</v>
      </c>
      <c r="X64" s="242" t="s">
        <v>2264</v>
      </c>
      <c r="Y64" s="235" t="s">
        <v>2268</v>
      </c>
      <c r="Z64" s="245" t="s">
        <v>2270</v>
      </c>
      <c r="AA64" s="244" t="s">
        <v>1739</v>
      </c>
    </row>
    <row r="65" spans="1:27" x14ac:dyDescent="0.25">
      <c r="D65" s="244"/>
      <c r="E65" s="244"/>
      <c r="F65" s="33" t="s">
        <v>253</v>
      </c>
      <c r="G65" s="244" t="s">
        <v>1739</v>
      </c>
      <c r="H65" s="245" t="s">
        <v>2270</v>
      </c>
      <c r="I65" s="245" t="s">
        <v>2270</v>
      </c>
      <c r="J65" s="245" t="s">
        <v>2270</v>
      </c>
      <c r="K65" s="245" t="s">
        <v>2270</v>
      </c>
      <c r="L65" s="245" t="s">
        <v>2270</v>
      </c>
      <c r="M65" s="245" t="s">
        <v>2270</v>
      </c>
      <c r="N65" s="242" t="s">
        <v>2264</v>
      </c>
      <c r="O65" s="235" t="s">
        <v>2268</v>
      </c>
      <c r="P65" s="235" t="s">
        <v>2268</v>
      </c>
      <c r="R65" s="242" t="s">
        <v>2264</v>
      </c>
      <c r="S65" s="230" t="s">
        <v>2276</v>
      </c>
      <c r="T65" s="235" t="s">
        <v>2268</v>
      </c>
      <c r="U65" s="235" t="s">
        <v>2268</v>
      </c>
      <c r="V65" s="245" t="s">
        <v>2270</v>
      </c>
      <c r="W65" s="245" t="s">
        <v>2270</v>
      </c>
      <c r="X65" s="235" t="s">
        <v>2268</v>
      </c>
      <c r="Y65" s="245" t="s">
        <v>2270</v>
      </c>
      <c r="Z65" s="235" t="s">
        <v>2268</v>
      </c>
      <c r="AA65" s="244" t="s">
        <v>1739</v>
      </c>
    </row>
    <row r="66" spans="1:27" x14ac:dyDescent="0.25">
      <c r="A66" s="243" t="s">
        <v>2273</v>
      </c>
      <c r="D66" s="244" t="s">
        <v>1739</v>
      </c>
      <c r="E66" s="235" t="s">
        <v>2268</v>
      </c>
      <c r="F66" s="33" t="s">
        <v>250</v>
      </c>
      <c r="G66" s="235" t="s">
        <v>2268</v>
      </c>
      <c r="H66" s="235" t="s">
        <v>2268</v>
      </c>
      <c r="I66" s="245" t="s">
        <v>2270</v>
      </c>
      <c r="J66" s="245" t="s">
        <v>2270</v>
      </c>
      <c r="K66" s="235" t="s">
        <v>2268</v>
      </c>
      <c r="L66" s="245" t="s">
        <v>2270</v>
      </c>
      <c r="M66" s="242" t="s">
        <v>2264</v>
      </c>
      <c r="N66" s="235" t="s">
        <v>2268</v>
      </c>
      <c r="O66" s="245" t="s">
        <v>2270</v>
      </c>
      <c r="P66" s="242" t="s">
        <v>2264</v>
      </c>
      <c r="R66" s="235" t="s">
        <v>2268</v>
      </c>
      <c r="S66" s="235" t="s">
        <v>2268</v>
      </c>
      <c r="T66" s="245" t="s">
        <v>2270</v>
      </c>
      <c r="U66" s="235" t="s">
        <v>2268</v>
      </c>
      <c r="V66" s="245" t="s">
        <v>2270</v>
      </c>
      <c r="W66" s="235" t="s">
        <v>2268</v>
      </c>
      <c r="X66" s="235" t="s">
        <v>2268</v>
      </c>
      <c r="Y66" s="245" t="s">
        <v>2270</v>
      </c>
      <c r="Z66" s="235" t="s">
        <v>2268</v>
      </c>
      <c r="AA66" s="245" t="s">
        <v>2270</v>
      </c>
    </row>
    <row r="67" spans="1:27" x14ac:dyDescent="0.25">
      <c r="D67" s="243" t="s">
        <v>2273</v>
      </c>
      <c r="E67" s="242" t="s">
        <v>2274</v>
      </c>
      <c r="J67" s="243" t="s">
        <v>2273</v>
      </c>
      <c r="N67" s="243" t="s">
        <v>2273</v>
      </c>
      <c r="T67" s="242" t="s">
        <v>2274</v>
      </c>
      <c r="Y67" s="243" t="s">
        <v>2273</v>
      </c>
      <c r="AA67" s="47"/>
    </row>
    <row r="68" spans="1:27" x14ac:dyDescent="0.25">
      <c r="A68" s="243" t="s">
        <v>2273</v>
      </c>
      <c r="D68" s="244" t="s">
        <v>1739</v>
      </c>
      <c r="E68" s="244" t="s">
        <v>1739</v>
      </c>
      <c r="F68" s="33" t="s">
        <v>247</v>
      </c>
      <c r="G68" s="244" t="s">
        <v>1739</v>
      </c>
      <c r="H68" s="235" t="s">
        <v>2268</v>
      </c>
      <c r="I68" s="235" t="s">
        <v>2268</v>
      </c>
      <c r="J68" s="245" t="s">
        <v>2270</v>
      </c>
      <c r="K68" s="242" t="s">
        <v>2264</v>
      </c>
      <c r="L68" s="235" t="s">
        <v>2268</v>
      </c>
      <c r="M68" s="235" t="s">
        <v>2268</v>
      </c>
      <c r="N68" s="235" t="s">
        <v>2268</v>
      </c>
      <c r="O68" s="242" t="s">
        <v>2264</v>
      </c>
      <c r="P68" s="242" t="s">
        <v>2264</v>
      </c>
      <c r="R68" s="242" t="s">
        <v>2264</v>
      </c>
      <c r="S68" s="245" t="s">
        <v>2270</v>
      </c>
      <c r="T68" s="235" t="s">
        <v>2268</v>
      </c>
      <c r="U68" s="245" t="s">
        <v>2270</v>
      </c>
      <c r="V68" s="245" t="s">
        <v>2270</v>
      </c>
      <c r="W68" s="235" t="s">
        <v>2268</v>
      </c>
      <c r="X68" s="235" t="s">
        <v>2268</v>
      </c>
      <c r="Y68" s="245" t="s">
        <v>2270</v>
      </c>
      <c r="Z68" s="235" t="s">
        <v>2268</v>
      </c>
      <c r="AA68" s="244" t="s">
        <v>1739</v>
      </c>
    </row>
    <row r="69" spans="1:27" x14ac:dyDescent="0.25">
      <c r="B69" s="242" t="s">
        <v>2281</v>
      </c>
      <c r="D69" s="244"/>
      <c r="E69" s="244"/>
      <c r="F69" s="33" t="s">
        <v>244</v>
      </c>
      <c r="G69" s="244" t="s">
        <v>1739</v>
      </c>
      <c r="H69" s="245" t="s">
        <v>2270</v>
      </c>
      <c r="I69" s="235" t="s">
        <v>2268</v>
      </c>
      <c r="J69" s="245" t="s">
        <v>2270</v>
      </c>
      <c r="K69" s="242" t="s">
        <v>2264</v>
      </c>
      <c r="L69" s="245" t="s">
        <v>2270</v>
      </c>
      <c r="M69" s="245" t="s">
        <v>2270</v>
      </c>
      <c r="N69" s="245" t="s">
        <v>2270</v>
      </c>
      <c r="O69" s="245" t="s">
        <v>2270</v>
      </c>
      <c r="P69" s="245" t="s">
        <v>2270</v>
      </c>
      <c r="R69" s="245" t="s">
        <v>2270</v>
      </c>
      <c r="S69" s="242" t="s">
        <v>2264</v>
      </c>
      <c r="T69" s="245" t="s">
        <v>2270</v>
      </c>
      <c r="U69" s="242" t="s">
        <v>2264</v>
      </c>
      <c r="V69" s="242" t="s">
        <v>2264</v>
      </c>
      <c r="W69" s="235" t="s">
        <v>2268</v>
      </c>
      <c r="X69" s="235" t="s">
        <v>2268</v>
      </c>
      <c r="Y69" s="245" t="s">
        <v>2270</v>
      </c>
      <c r="Z69" s="245" t="s">
        <v>2270</v>
      </c>
      <c r="AA69" s="244" t="s">
        <v>1739</v>
      </c>
    </row>
    <row r="70" spans="1:27" x14ac:dyDescent="0.25">
      <c r="B70" s="242" t="s">
        <v>2281</v>
      </c>
      <c r="D70" s="244" t="s">
        <v>1739</v>
      </c>
      <c r="E70" s="244" t="s">
        <v>1739</v>
      </c>
      <c r="F70" s="33" t="s">
        <v>242</v>
      </c>
      <c r="G70" s="244" t="s">
        <v>1739</v>
      </c>
      <c r="H70" s="245" t="s">
        <v>2270</v>
      </c>
      <c r="I70" s="235" t="s">
        <v>2268</v>
      </c>
      <c r="J70" s="245" t="s">
        <v>2270</v>
      </c>
      <c r="K70" s="235" t="s">
        <v>2268</v>
      </c>
      <c r="L70" s="245" t="s">
        <v>2270</v>
      </c>
      <c r="M70" s="245" t="s">
        <v>2270</v>
      </c>
      <c r="N70" s="245" t="s">
        <v>2270</v>
      </c>
      <c r="O70" s="235" t="s">
        <v>2268</v>
      </c>
      <c r="P70" s="242" t="s">
        <v>2264</v>
      </c>
      <c r="R70" s="235" t="s">
        <v>2268</v>
      </c>
      <c r="S70" s="235" t="s">
        <v>2268</v>
      </c>
      <c r="T70" s="235" t="s">
        <v>2268</v>
      </c>
      <c r="U70" s="242" t="s">
        <v>2264</v>
      </c>
      <c r="V70" s="235" t="s">
        <v>2268</v>
      </c>
      <c r="W70" s="235" t="s">
        <v>2268</v>
      </c>
      <c r="X70" s="245" t="s">
        <v>2270</v>
      </c>
      <c r="Y70" s="245" t="s">
        <v>2270</v>
      </c>
      <c r="Z70" s="245" t="s">
        <v>2270</v>
      </c>
      <c r="AA70" s="245" t="s">
        <v>2270</v>
      </c>
    </row>
    <row r="72" spans="1:27" x14ac:dyDescent="0.25">
      <c r="A72" t="s">
        <v>2262</v>
      </c>
    </row>
    <row r="73" spans="1:27" x14ac:dyDescent="0.25">
      <c r="A73" t="s">
        <v>2263</v>
      </c>
    </row>
    <row r="74" spans="1:27" x14ac:dyDescent="0.25">
      <c r="A74" t="s">
        <v>2277</v>
      </c>
    </row>
    <row r="75" spans="1:27" x14ac:dyDescent="0.25">
      <c r="A75" t="s">
        <v>2279</v>
      </c>
    </row>
    <row r="76" spans="1:27" x14ac:dyDescent="0.25">
      <c r="A76" t="s">
        <v>2278</v>
      </c>
    </row>
    <row r="77" spans="1:27" x14ac:dyDescent="0.25">
      <c r="B77" s="39" t="s">
        <v>2250</v>
      </c>
    </row>
    <row r="78" spans="1:27" x14ac:dyDescent="0.25">
      <c r="A78" t="s">
        <v>2276</v>
      </c>
      <c r="B78" s="33">
        <f>COUNTIF($A$64:$AA$70, A78)</f>
        <v>1</v>
      </c>
      <c r="D78" t="s">
        <v>2275</v>
      </c>
    </row>
    <row r="79" spans="1:27" x14ac:dyDescent="0.25">
      <c r="A79" t="s">
        <v>2264</v>
      </c>
      <c r="B79" s="32">
        <f t="shared" ref="B79:B85" si="49">COUNTIF($A$64:$AA$70, A79)</f>
        <v>18</v>
      </c>
      <c r="C79" s="32"/>
      <c r="D79" s="28" t="s">
        <v>2265</v>
      </c>
    </row>
    <row r="80" spans="1:27" x14ac:dyDescent="0.25">
      <c r="A80" t="s">
        <v>1739</v>
      </c>
      <c r="B80" s="33">
        <f t="shared" si="49"/>
        <v>17</v>
      </c>
      <c r="D80" t="s">
        <v>2266</v>
      </c>
    </row>
    <row r="81" spans="1:45" x14ac:dyDescent="0.25">
      <c r="A81" t="s">
        <v>2268</v>
      </c>
      <c r="B81" s="33">
        <f t="shared" si="49"/>
        <v>46</v>
      </c>
      <c r="D81" t="s">
        <v>2267</v>
      </c>
    </row>
    <row r="82" spans="1:45" x14ac:dyDescent="0.25">
      <c r="A82" t="s">
        <v>2270</v>
      </c>
      <c r="B82" s="33">
        <f t="shared" si="49"/>
        <v>47</v>
      </c>
      <c r="D82" t="s">
        <v>2269</v>
      </c>
    </row>
    <row r="83" spans="1:45" x14ac:dyDescent="0.25">
      <c r="A83" t="s">
        <v>2273</v>
      </c>
      <c r="B83" s="33">
        <f t="shared" si="49"/>
        <v>7</v>
      </c>
      <c r="D83" t="s">
        <v>2271</v>
      </c>
    </row>
    <row r="84" spans="1:45" x14ac:dyDescent="0.25">
      <c r="A84" t="s">
        <v>2274</v>
      </c>
      <c r="B84" s="32">
        <f t="shared" si="49"/>
        <v>2</v>
      </c>
      <c r="C84" s="32"/>
      <c r="D84" s="39" t="s">
        <v>2272</v>
      </c>
    </row>
    <row r="85" spans="1:45" x14ac:dyDescent="0.25">
      <c r="A85" t="s">
        <v>2281</v>
      </c>
      <c r="B85" s="32">
        <f t="shared" si="49"/>
        <v>2</v>
      </c>
      <c r="C85" s="32"/>
      <c r="D85" s="28" t="s">
        <v>2280</v>
      </c>
    </row>
    <row r="87" spans="1:45" x14ac:dyDescent="0.25">
      <c r="B87" s="33">
        <f>B84+B85+B79</f>
        <v>22</v>
      </c>
      <c r="D87" s="40" t="s">
        <v>2288</v>
      </c>
    </row>
    <row r="90" spans="1:45" x14ac:dyDescent="0.25">
      <c r="A90" t="s">
        <v>2282</v>
      </c>
    </row>
    <row r="91" spans="1:45" x14ac:dyDescent="0.25">
      <c r="A91" s="246" t="s">
        <v>2283</v>
      </c>
    </row>
    <row r="93" spans="1:45" x14ac:dyDescent="0.25">
      <c r="D93" s="33">
        <v>1</v>
      </c>
      <c r="E93" s="33">
        <f>D93+1</f>
        <v>2</v>
      </c>
      <c r="F93" s="33">
        <f>E93+1</f>
        <v>3</v>
      </c>
      <c r="G93" s="33">
        <f t="shared" ref="G93" si="50">F93+1</f>
        <v>4</v>
      </c>
      <c r="H93" s="33">
        <f t="shared" ref="H93" si="51">G93+1</f>
        <v>5</v>
      </c>
      <c r="I93" s="33">
        <f t="shared" ref="I93" si="52">H93+1</f>
        <v>6</v>
      </c>
      <c r="J93" s="33">
        <f t="shared" ref="J93" si="53">I93+1</f>
        <v>7</v>
      </c>
      <c r="L93" s="33">
        <v>10</v>
      </c>
      <c r="M93" s="33">
        <f t="shared" ref="M93" si="54">L93+1</f>
        <v>11</v>
      </c>
      <c r="N93" s="33">
        <f t="shared" ref="N93" si="55">M93+1</f>
        <v>12</v>
      </c>
      <c r="O93" s="33" t="s">
        <v>290</v>
      </c>
      <c r="P93" s="33">
        <v>14</v>
      </c>
      <c r="Q93" s="33">
        <f>P93+1</f>
        <v>15</v>
      </c>
      <c r="S93" s="33">
        <v>16</v>
      </c>
      <c r="T93" s="33">
        <f t="shared" ref="T93" si="56">S93+1</f>
        <v>17</v>
      </c>
      <c r="U93" s="33">
        <f t="shared" ref="U93" si="57">T93+1</f>
        <v>18</v>
      </c>
      <c r="V93" s="33">
        <f t="shared" ref="V93" si="58">U93+1</f>
        <v>19</v>
      </c>
      <c r="W93" s="33">
        <f t="shared" ref="W93" si="59">V93+1</f>
        <v>20</v>
      </c>
      <c r="X93" s="33">
        <f t="shared" ref="X93" si="60">W93+1</f>
        <v>21</v>
      </c>
      <c r="Y93" s="33">
        <f t="shared" ref="Y93" si="61">X93+1</f>
        <v>22</v>
      </c>
      <c r="Z93" s="33">
        <f t="shared" ref="Z93" si="62">Y93+1</f>
        <v>23</v>
      </c>
      <c r="AA93" s="33">
        <f t="shared" ref="AA93" si="63">Z93+1</f>
        <v>24</v>
      </c>
      <c r="AC93" s="33">
        <v>25</v>
      </c>
      <c r="AD93" s="33">
        <f t="shared" ref="AD93" si="64">AC93+1</f>
        <v>26</v>
      </c>
      <c r="AE93" s="33">
        <f t="shared" ref="AE93" si="65">AD93+1</f>
        <v>27</v>
      </c>
      <c r="AF93" s="33">
        <f t="shared" ref="AF93" si="66">AE93+1</f>
        <v>28</v>
      </c>
      <c r="AG93" s="33">
        <f t="shared" ref="AG93" si="67">AF93+1</f>
        <v>29</v>
      </c>
      <c r="AH93" s="33">
        <f t="shared" ref="AH93" si="68">AG93+1</f>
        <v>30</v>
      </c>
      <c r="AI93" s="33">
        <f t="shared" ref="AI93" si="69">AH93+1</f>
        <v>31</v>
      </c>
      <c r="AJ93" s="33">
        <f t="shared" ref="AJ93" si="70">AI93+1</f>
        <v>32</v>
      </c>
      <c r="AK93" s="33">
        <f t="shared" ref="AK93" si="71">AJ93+1</f>
        <v>33</v>
      </c>
      <c r="AL93" s="33">
        <f t="shared" ref="AL93" si="72">AK93+1</f>
        <v>34</v>
      </c>
      <c r="AM93" s="33">
        <f t="shared" ref="AM93" si="73">AL93+1</f>
        <v>35</v>
      </c>
      <c r="AN93" s="33">
        <f t="shared" ref="AN93" si="74">AM93+1</f>
        <v>36</v>
      </c>
      <c r="AO93" s="33">
        <f t="shared" ref="AO93" si="75">AN93+1</f>
        <v>37</v>
      </c>
      <c r="AP93" s="33">
        <f t="shared" ref="AP93" si="76">AO93+1</f>
        <v>38</v>
      </c>
      <c r="AR93" s="33">
        <v>39</v>
      </c>
      <c r="AS93" s="33">
        <f t="shared" ref="AS93" si="77">AR93+1</f>
        <v>40</v>
      </c>
    </row>
    <row r="94" spans="1:45" x14ac:dyDescent="0.25">
      <c r="K94" s="33" t="s">
        <v>268</v>
      </c>
      <c r="L94" s="235" t="s">
        <v>2268</v>
      </c>
      <c r="M94" s="245" t="s">
        <v>2270</v>
      </c>
      <c r="N94" s="245" t="s">
        <v>2270</v>
      </c>
      <c r="O94" s="33" t="s">
        <v>290</v>
      </c>
      <c r="P94" s="245" t="s">
        <v>2270</v>
      </c>
      <c r="Q94" s="245" t="s">
        <v>2270</v>
      </c>
      <c r="R94" s="33" t="s">
        <v>268</v>
      </c>
      <c r="S94" s="244" t="s">
        <v>1739</v>
      </c>
      <c r="T94" s="244" t="s">
        <v>1739</v>
      </c>
      <c r="U94" s="245" t="s">
        <v>2270</v>
      </c>
      <c r="V94" s="244" t="s">
        <v>1739</v>
      </c>
      <c r="W94" s="245" t="s">
        <v>2270</v>
      </c>
      <c r="X94" s="235" t="s">
        <v>2268</v>
      </c>
      <c r="Y94" s="245" t="s">
        <v>2270</v>
      </c>
      <c r="Z94" s="245" t="s">
        <v>2270</v>
      </c>
      <c r="AA94" s="245" t="s">
        <v>2270</v>
      </c>
      <c r="AB94" s="33" t="s">
        <v>268</v>
      </c>
      <c r="AC94" s="244" t="s">
        <v>1739</v>
      </c>
      <c r="AD94" s="245" t="s">
        <v>2270</v>
      </c>
      <c r="AE94" s="245" t="s">
        <v>2270</v>
      </c>
      <c r="AF94" s="245" t="s">
        <v>2270</v>
      </c>
      <c r="AG94" s="235" t="s">
        <v>2268</v>
      </c>
      <c r="AH94" s="245" t="s">
        <v>2270</v>
      </c>
      <c r="AI94" s="245" t="s">
        <v>2270</v>
      </c>
      <c r="AJ94" s="235" t="s">
        <v>2268</v>
      </c>
      <c r="AK94" s="245" t="s">
        <v>2270</v>
      </c>
      <c r="AL94" s="245" t="s">
        <v>2270</v>
      </c>
      <c r="AM94" s="245" t="s">
        <v>2270</v>
      </c>
      <c r="AN94" s="245" t="s">
        <v>2270</v>
      </c>
      <c r="AO94" s="245" t="s">
        <v>2270</v>
      </c>
      <c r="AP94" s="245" t="s">
        <v>2270</v>
      </c>
      <c r="AQ94" s="33"/>
      <c r="AR94" s="33"/>
      <c r="AS94" s="33"/>
    </row>
    <row r="95" spans="1:45" x14ac:dyDescent="0.25">
      <c r="C95" s="33" t="s">
        <v>268</v>
      </c>
      <c r="D95" s="244" t="s">
        <v>1739</v>
      </c>
      <c r="E95" s="245" t="s">
        <v>2270</v>
      </c>
      <c r="F95" s="242" t="s">
        <v>2264</v>
      </c>
      <c r="G95" s="242" t="s">
        <v>2264</v>
      </c>
      <c r="H95" s="230" t="s">
        <v>2276</v>
      </c>
      <c r="I95" s="244" t="s">
        <v>1739</v>
      </c>
      <c r="J95" s="244" t="s">
        <v>1739</v>
      </c>
      <c r="K95" s="33" t="s">
        <v>258</v>
      </c>
      <c r="L95" s="245" t="s">
        <v>2270</v>
      </c>
      <c r="M95" s="245" t="s">
        <v>2270</v>
      </c>
      <c r="N95" s="245" t="s">
        <v>2270</v>
      </c>
      <c r="O95" s="33" t="s">
        <v>290</v>
      </c>
      <c r="P95" s="245" t="s">
        <v>2270</v>
      </c>
      <c r="Q95" s="245" t="s">
        <v>2270</v>
      </c>
      <c r="R95" s="33" t="s">
        <v>261</v>
      </c>
      <c r="S95" s="244" t="s">
        <v>1739</v>
      </c>
      <c r="T95" s="244" t="s">
        <v>1739</v>
      </c>
      <c r="U95" s="244" t="s">
        <v>1739</v>
      </c>
      <c r="V95" s="244" t="s">
        <v>1739</v>
      </c>
      <c r="W95" s="245" t="s">
        <v>2270</v>
      </c>
      <c r="X95" s="235" t="s">
        <v>2268</v>
      </c>
      <c r="Y95" s="245" t="s">
        <v>2270</v>
      </c>
      <c r="Z95" s="242" t="s">
        <v>2264</v>
      </c>
      <c r="AA95" s="245" t="s">
        <v>2270</v>
      </c>
      <c r="AB95" s="33" t="s">
        <v>261</v>
      </c>
      <c r="AC95" s="244" t="s">
        <v>1739</v>
      </c>
      <c r="AD95" s="245" t="s">
        <v>2270</v>
      </c>
      <c r="AE95" s="245" t="s">
        <v>2270</v>
      </c>
      <c r="AF95" s="245" t="s">
        <v>2270</v>
      </c>
      <c r="AG95" s="235" t="s">
        <v>2268</v>
      </c>
      <c r="AH95" s="245" t="s">
        <v>2270</v>
      </c>
      <c r="AI95" s="245" t="s">
        <v>2270</v>
      </c>
      <c r="AJ95" s="235" t="s">
        <v>2268</v>
      </c>
      <c r="AK95" s="245" t="s">
        <v>2270</v>
      </c>
      <c r="AL95" s="245" t="s">
        <v>2270</v>
      </c>
      <c r="AM95" s="244" t="s">
        <v>1739</v>
      </c>
      <c r="AN95" s="244" t="s">
        <v>1739</v>
      </c>
      <c r="AO95" s="245" t="s">
        <v>2270</v>
      </c>
      <c r="AP95" s="245" t="s">
        <v>2270</v>
      </c>
      <c r="AQ95" s="33" t="s">
        <v>268</v>
      </c>
      <c r="AR95" s="244" t="s">
        <v>1739</v>
      </c>
      <c r="AS95" s="33"/>
    </row>
    <row r="96" spans="1:45" x14ac:dyDescent="0.25">
      <c r="A96" s="33"/>
      <c r="R96" s="33" t="s">
        <v>258</v>
      </c>
      <c r="S96" s="244" t="s">
        <v>1739</v>
      </c>
      <c r="T96" s="244" t="s">
        <v>1739</v>
      </c>
      <c r="U96" s="244" t="s">
        <v>1739</v>
      </c>
      <c r="V96" s="244" t="s">
        <v>1739</v>
      </c>
      <c r="W96" s="245" t="s">
        <v>2270</v>
      </c>
      <c r="X96" s="235" t="s">
        <v>2268</v>
      </c>
      <c r="Y96" s="245" t="s">
        <v>2270</v>
      </c>
      <c r="Z96" s="245" t="s">
        <v>2270</v>
      </c>
      <c r="AA96" s="235" t="s">
        <v>2268</v>
      </c>
      <c r="AB96" s="33" t="s">
        <v>258</v>
      </c>
      <c r="AC96" s="244" t="s">
        <v>1739</v>
      </c>
      <c r="AD96" s="245" t="s">
        <v>2270</v>
      </c>
      <c r="AE96" s="245" t="s">
        <v>2270</v>
      </c>
      <c r="AF96" s="245" t="s">
        <v>2270</v>
      </c>
      <c r="AG96" s="244" t="s">
        <v>1739</v>
      </c>
      <c r="AH96" s="245" t="s">
        <v>2270</v>
      </c>
      <c r="AI96" s="244" t="s">
        <v>1739</v>
      </c>
      <c r="AJ96" s="244" t="s">
        <v>1739</v>
      </c>
      <c r="AK96" s="245" t="s">
        <v>2270</v>
      </c>
      <c r="AL96" s="244" t="s">
        <v>1739</v>
      </c>
      <c r="AM96" s="244" t="s">
        <v>1739</v>
      </c>
      <c r="AN96" s="244" t="s">
        <v>1739</v>
      </c>
      <c r="AO96" s="245" t="s">
        <v>2270</v>
      </c>
      <c r="AP96" s="245" t="s">
        <v>2270</v>
      </c>
      <c r="AQ96" s="33" t="s">
        <v>258</v>
      </c>
      <c r="AR96" s="244" t="s">
        <v>1739</v>
      </c>
      <c r="AS96" s="33"/>
    </row>
    <row r="97" spans="1:45" x14ac:dyDescent="0.25">
      <c r="AC97" s="33"/>
      <c r="AD97" s="33"/>
      <c r="AE97" s="33"/>
      <c r="AF97" s="33"/>
      <c r="AG97" s="33"/>
      <c r="AH97" s="33"/>
      <c r="AI97" s="33"/>
      <c r="AJ97" s="33"/>
      <c r="AK97" s="33"/>
      <c r="AL97" s="33"/>
      <c r="AM97" s="33"/>
      <c r="AN97" s="33"/>
      <c r="AO97" s="33"/>
      <c r="AP97" s="33"/>
      <c r="AQ97" s="33"/>
      <c r="AR97" s="33"/>
      <c r="AS97" s="242" t="s">
        <v>2274</v>
      </c>
    </row>
    <row r="98" spans="1:45" x14ac:dyDescent="0.25">
      <c r="A98" s="33"/>
      <c r="C98" s="33" t="s">
        <v>258</v>
      </c>
      <c r="D98" s="245" t="s">
        <v>2270</v>
      </c>
      <c r="E98" s="244" t="s">
        <v>1739</v>
      </c>
      <c r="F98" s="245" t="s">
        <v>2270</v>
      </c>
      <c r="G98" s="242" t="s">
        <v>2264</v>
      </c>
      <c r="H98" s="242" t="s">
        <v>2264</v>
      </c>
      <c r="I98" s="242" t="s">
        <v>2264</v>
      </c>
      <c r="J98" s="242" t="s">
        <v>2264</v>
      </c>
      <c r="K98" s="33" t="s">
        <v>256</v>
      </c>
      <c r="L98" s="245" t="s">
        <v>2270</v>
      </c>
      <c r="M98" s="245" t="s">
        <v>2270</v>
      </c>
      <c r="N98" s="235" t="s">
        <v>2268</v>
      </c>
      <c r="O98" s="33" t="s">
        <v>290</v>
      </c>
      <c r="P98" s="245" t="s">
        <v>2270</v>
      </c>
      <c r="Q98" s="245" t="s">
        <v>2270</v>
      </c>
      <c r="R98" s="33" t="s">
        <v>256</v>
      </c>
      <c r="S98" s="244" t="s">
        <v>1739</v>
      </c>
      <c r="T98" s="245" t="s">
        <v>2270</v>
      </c>
      <c r="U98" s="244" t="s">
        <v>1739</v>
      </c>
      <c r="V98" s="244" t="s">
        <v>1739</v>
      </c>
      <c r="W98" s="245" t="s">
        <v>2270</v>
      </c>
      <c r="X98" s="245" t="s">
        <v>2270</v>
      </c>
      <c r="Y98" s="245" t="s">
        <v>2270</v>
      </c>
      <c r="Z98" s="245" t="s">
        <v>2270</v>
      </c>
      <c r="AA98" s="235" t="s">
        <v>2268</v>
      </c>
      <c r="AB98" s="33" t="s">
        <v>256</v>
      </c>
      <c r="AC98" s="244" t="s">
        <v>1739</v>
      </c>
      <c r="AD98" s="245" t="s">
        <v>2270</v>
      </c>
      <c r="AE98" s="245" t="s">
        <v>2270</v>
      </c>
      <c r="AF98" s="245" t="s">
        <v>2270</v>
      </c>
      <c r="AG98" s="244" t="s">
        <v>1739</v>
      </c>
      <c r="AH98" s="244" t="s">
        <v>1739</v>
      </c>
      <c r="AI98" s="245" t="s">
        <v>2270</v>
      </c>
      <c r="AJ98" s="245" t="s">
        <v>2270</v>
      </c>
      <c r="AK98" s="245" t="s">
        <v>2270</v>
      </c>
      <c r="AL98" s="244" t="s">
        <v>1739</v>
      </c>
      <c r="AM98" s="245" t="s">
        <v>2270</v>
      </c>
      <c r="AN98" s="244" t="s">
        <v>1739</v>
      </c>
      <c r="AO98" s="245" t="s">
        <v>2270</v>
      </c>
      <c r="AP98" s="245" t="s">
        <v>2270</v>
      </c>
      <c r="AQ98" s="33" t="s">
        <v>256</v>
      </c>
      <c r="AR98" s="244" t="s">
        <v>1739</v>
      </c>
      <c r="AS98" s="244" t="s">
        <v>1739</v>
      </c>
    </row>
    <row r="99" spans="1:45" x14ac:dyDescent="0.25">
      <c r="K99" s="33" t="s">
        <v>253</v>
      </c>
      <c r="L99" s="245" t="s">
        <v>2270</v>
      </c>
      <c r="M99" s="245" t="s">
        <v>2270</v>
      </c>
      <c r="N99" s="235" t="s">
        <v>2268</v>
      </c>
      <c r="O99" s="33" t="s">
        <v>290</v>
      </c>
      <c r="P99" s="245" t="s">
        <v>2270</v>
      </c>
      <c r="Q99" s="245" t="s">
        <v>2270</v>
      </c>
      <c r="R99" s="33" t="s">
        <v>253</v>
      </c>
      <c r="S99" s="245" t="s">
        <v>2270</v>
      </c>
      <c r="T99" s="244" t="s">
        <v>1739</v>
      </c>
      <c r="U99" s="244" t="s">
        <v>1739</v>
      </c>
      <c r="V99" s="244" t="s">
        <v>1739</v>
      </c>
      <c r="W99" s="245" t="s">
        <v>2270</v>
      </c>
      <c r="X99" s="245" t="s">
        <v>2270</v>
      </c>
      <c r="Y99" s="245" t="s">
        <v>2270</v>
      </c>
      <c r="Z99" s="244" t="s">
        <v>1739</v>
      </c>
      <c r="AA99" s="242" t="s">
        <v>2264</v>
      </c>
      <c r="AB99" s="33" t="s">
        <v>253</v>
      </c>
      <c r="AC99" s="244" t="s">
        <v>1739</v>
      </c>
      <c r="AD99" s="245" t="s">
        <v>2270</v>
      </c>
      <c r="AE99" s="245" t="s">
        <v>2270</v>
      </c>
      <c r="AF99" s="245" t="s">
        <v>2270</v>
      </c>
      <c r="AG99" s="245" t="s">
        <v>2270</v>
      </c>
      <c r="AH99" s="245" t="s">
        <v>2270</v>
      </c>
      <c r="AI99" s="244" t="s">
        <v>1739</v>
      </c>
      <c r="AJ99" s="245" t="s">
        <v>2270</v>
      </c>
      <c r="AK99" s="245" t="s">
        <v>2270</v>
      </c>
      <c r="AL99" s="245" t="s">
        <v>2270</v>
      </c>
      <c r="AM99" s="245" t="s">
        <v>2270</v>
      </c>
      <c r="AN99" s="244" t="s">
        <v>1739</v>
      </c>
      <c r="AO99" s="245" t="s">
        <v>2270</v>
      </c>
      <c r="AP99" s="245" t="s">
        <v>2270</v>
      </c>
      <c r="AQ99" s="33" t="s">
        <v>253</v>
      </c>
      <c r="AR99" s="244" t="s">
        <v>1739</v>
      </c>
      <c r="AS99" s="244" t="s">
        <v>1739</v>
      </c>
    </row>
    <row r="100" spans="1:45" x14ac:dyDescent="0.25">
      <c r="C100" s="33" t="s">
        <v>250</v>
      </c>
      <c r="D100" s="245" t="s">
        <v>2270</v>
      </c>
      <c r="E100" s="244" t="s">
        <v>1739</v>
      </c>
      <c r="F100" s="242" t="s">
        <v>2264</v>
      </c>
      <c r="G100" s="242" t="s">
        <v>2264</v>
      </c>
      <c r="H100" s="242" t="s">
        <v>2264</v>
      </c>
      <c r="I100" s="242" t="s">
        <v>2264</v>
      </c>
      <c r="J100" s="242" t="s">
        <v>2264</v>
      </c>
      <c r="K100" s="33" t="s">
        <v>250</v>
      </c>
      <c r="L100" s="245" t="s">
        <v>2270</v>
      </c>
      <c r="M100" s="245" t="s">
        <v>2270</v>
      </c>
      <c r="N100" s="245" t="s">
        <v>2270</v>
      </c>
      <c r="O100" s="33" t="s">
        <v>290</v>
      </c>
      <c r="P100" s="245" t="s">
        <v>2270</v>
      </c>
      <c r="Q100" s="245" t="s">
        <v>2270</v>
      </c>
      <c r="R100" s="33" t="s">
        <v>250</v>
      </c>
      <c r="S100" s="245" t="s">
        <v>2270</v>
      </c>
      <c r="T100" s="245" t="s">
        <v>2270</v>
      </c>
      <c r="U100" s="244" t="s">
        <v>1739</v>
      </c>
      <c r="V100" s="244" t="s">
        <v>1739</v>
      </c>
      <c r="W100" s="245" t="s">
        <v>2270</v>
      </c>
      <c r="X100" s="245" t="s">
        <v>2270</v>
      </c>
      <c r="Y100" s="245" t="s">
        <v>2270</v>
      </c>
      <c r="Z100" s="244" t="s">
        <v>1739</v>
      </c>
      <c r="AA100" s="245" t="s">
        <v>2270</v>
      </c>
      <c r="AB100" s="33" t="s">
        <v>250</v>
      </c>
      <c r="AC100" s="244" t="s">
        <v>1739</v>
      </c>
      <c r="AD100" s="245" t="s">
        <v>2270</v>
      </c>
      <c r="AE100" s="245" t="s">
        <v>2270</v>
      </c>
      <c r="AF100" s="245" t="s">
        <v>2270</v>
      </c>
      <c r="AG100" s="245" t="s">
        <v>2270</v>
      </c>
      <c r="AH100" s="245" t="s">
        <v>2270</v>
      </c>
      <c r="AI100" s="245" t="s">
        <v>2270</v>
      </c>
      <c r="AJ100" s="245" t="s">
        <v>2270</v>
      </c>
      <c r="AK100" s="245" t="s">
        <v>2270</v>
      </c>
      <c r="AL100" s="245" t="s">
        <v>2270</v>
      </c>
      <c r="AM100" s="245" t="s">
        <v>2270</v>
      </c>
      <c r="AN100" s="244" t="s">
        <v>1739</v>
      </c>
      <c r="AO100" s="245" t="s">
        <v>2270</v>
      </c>
      <c r="AP100" s="245" t="s">
        <v>2270</v>
      </c>
      <c r="AQ100" s="33" t="s">
        <v>250</v>
      </c>
      <c r="AR100" s="244" t="s">
        <v>1739</v>
      </c>
      <c r="AS100" s="244" t="s">
        <v>1739</v>
      </c>
    </row>
    <row r="101" spans="1:45" x14ac:dyDescent="0.25">
      <c r="AC101" s="33"/>
      <c r="AD101" s="33"/>
      <c r="AE101" s="33"/>
      <c r="AF101" s="33"/>
      <c r="AG101" s="33"/>
      <c r="AH101" s="33"/>
      <c r="AI101" s="33"/>
      <c r="AJ101" s="33"/>
      <c r="AK101" s="33"/>
      <c r="AL101" s="33"/>
      <c r="AM101" s="33"/>
      <c r="AN101" s="33"/>
      <c r="AO101" s="33"/>
      <c r="AP101" s="33"/>
      <c r="AQ101" s="33"/>
      <c r="AR101" s="33"/>
      <c r="AS101" s="33"/>
    </row>
    <row r="102" spans="1:45" x14ac:dyDescent="0.25">
      <c r="R102" s="33" t="s">
        <v>247</v>
      </c>
      <c r="S102" s="244" t="s">
        <v>1739</v>
      </c>
      <c r="T102" s="245" t="s">
        <v>2270</v>
      </c>
      <c r="U102" s="244" t="s">
        <v>1739</v>
      </c>
      <c r="V102" s="245" t="s">
        <v>2270</v>
      </c>
      <c r="W102" s="235" t="s">
        <v>2268</v>
      </c>
      <c r="X102" s="245" t="s">
        <v>2270</v>
      </c>
      <c r="Y102" s="245" t="s">
        <v>2270</v>
      </c>
      <c r="Z102" s="245" t="s">
        <v>2270</v>
      </c>
      <c r="AA102" s="245" t="s">
        <v>2270</v>
      </c>
      <c r="AB102" s="33" t="s">
        <v>247</v>
      </c>
      <c r="AC102" s="244" t="s">
        <v>1739</v>
      </c>
      <c r="AD102" s="245" t="s">
        <v>2270</v>
      </c>
      <c r="AE102" s="245" t="s">
        <v>2270</v>
      </c>
      <c r="AF102" s="235" t="s">
        <v>2268</v>
      </c>
      <c r="AG102" s="235" t="s">
        <v>2268</v>
      </c>
      <c r="AH102" s="244" t="s">
        <v>1739</v>
      </c>
      <c r="AI102" s="245" t="s">
        <v>2270</v>
      </c>
      <c r="AJ102" s="245" t="s">
        <v>2270</v>
      </c>
      <c r="AK102" s="245" t="s">
        <v>2270</v>
      </c>
      <c r="AL102" s="244" t="s">
        <v>1739</v>
      </c>
      <c r="AM102" s="245" t="s">
        <v>2270</v>
      </c>
      <c r="AN102" s="245" t="s">
        <v>2270</v>
      </c>
      <c r="AO102" s="245" t="s">
        <v>2270</v>
      </c>
      <c r="AP102" s="245" t="s">
        <v>2270</v>
      </c>
      <c r="AQ102" s="33" t="s">
        <v>247</v>
      </c>
      <c r="AR102" s="244" t="s">
        <v>1739</v>
      </c>
      <c r="AS102" s="33"/>
    </row>
    <row r="103" spans="1:45" x14ac:dyDescent="0.25">
      <c r="K103" s="33" t="s">
        <v>247</v>
      </c>
      <c r="L103" s="245" t="s">
        <v>2270</v>
      </c>
      <c r="M103" s="245" t="s">
        <v>2270</v>
      </c>
      <c r="N103" s="245" t="s">
        <v>2270</v>
      </c>
      <c r="O103" s="33" t="s">
        <v>290</v>
      </c>
      <c r="P103" s="235" t="s">
        <v>2268</v>
      </c>
      <c r="Q103" s="235" t="s">
        <v>2268</v>
      </c>
      <c r="R103" s="33" t="s">
        <v>244</v>
      </c>
      <c r="S103" s="244" t="s">
        <v>1739</v>
      </c>
      <c r="T103" s="244" t="s">
        <v>1739</v>
      </c>
      <c r="U103" s="244" t="s">
        <v>1739</v>
      </c>
      <c r="V103" s="244" t="s">
        <v>1739</v>
      </c>
      <c r="W103" s="245" t="s">
        <v>2270</v>
      </c>
      <c r="X103" s="245" t="s">
        <v>2270</v>
      </c>
      <c r="Y103" s="245" t="s">
        <v>2270</v>
      </c>
      <c r="Z103" s="245" t="s">
        <v>2270</v>
      </c>
      <c r="AA103" s="245" t="s">
        <v>2270</v>
      </c>
      <c r="AB103" s="33" t="s">
        <v>244</v>
      </c>
      <c r="AC103" s="244" t="s">
        <v>1739</v>
      </c>
      <c r="AD103" s="235" t="s">
        <v>2268</v>
      </c>
      <c r="AE103" s="245" t="s">
        <v>2270</v>
      </c>
      <c r="AF103" s="244" t="s">
        <v>1739</v>
      </c>
      <c r="AG103" s="244" t="s">
        <v>1739</v>
      </c>
      <c r="AH103" s="235" t="s">
        <v>2268</v>
      </c>
      <c r="AI103" s="245" t="s">
        <v>2270</v>
      </c>
      <c r="AJ103" s="235" t="s">
        <v>2268</v>
      </c>
      <c r="AK103" s="244" t="s">
        <v>1739</v>
      </c>
      <c r="AL103" s="245" t="s">
        <v>2270</v>
      </c>
      <c r="AM103" s="244" t="s">
        <v>1739</v>
      </c>
      <c r="AN103" s="245" t="s">
        <v>2270</v>
      </c>
      <c r="AO103" s="245" t="s">
        <v>2270</v>
      </c>
      <c r="AP103" s="245" t="s">
        <v>2270</v>
      </c>
      <c r="AQ103" s="33" t="s">
        <v>242</v>
      </c>
      <c r="AR103" s="244" t="s">
        <v>1739</v>
      </c>
      <c r="AS103" s="33"/>
    </row>
    <row r="104" spans="1:45" x14ac:dyDescent="0.25">
      <c r="C104" s="33" t="s">
        <v>242</v>
      </c>
      <c r="D104" s="245" t="s">
        <v>2270</v>
      </c>
      <c r="E104" s="235" t="s">
        <v>2268</v>
      </c>
      <c r="F104" s="245" t="s">
        <v>2270</v>
      </c>
      <c r="G104" s="245" t="s">
        <v>2270</v>
      </c>
      <c r="H104" s="242" t="s">
        <v>2264</v>
      </c>
      <c r="I104" s="244" t="s">
        <v>1739</v>
      </c>
      <c r="J104" s="244" t="s">
        <v>1739</v>
      </c>
      <c r="K104" s="33" t="s">
        <v>242</v>
      </c>
      <c r="L104" s="235" t="s">
        <v>2268</v>
      </c>
      <c r="M104" s="245" t="s">
        <v>2270</v>
      </c>
      <c r="N104" s="245" t="s">
        <v>2270</v>
      </c>
      <c r="O104" s="33" t="s">
        <v>290</v>
      </c>
      <c r="P104" s="235" t="s">
        <v>2268</v>
      </c>
      <c r="Q104" s="235" t="s">
        <v>2268</v>
      </c>
      <c r="R104" s="33" t="s">
        <v>242</v>
      </c>
      <c r="S104" s="244" t="s">
        <v>1739</v>
      </c>
      <c r="T104" s="245" t="s">
        <v>2270</v>
      </c>
      <c r="U104" s="245" t="s">
        <v>2270</v>
      </c>
      <c r="V104" s="245" t="s">
        <v>2270</v>
      </c>
      <c r="W104" s="245" t="s">
        <v>2270</v>
      </c>
      <c r="X104" s="245" t="s">
        <v>2270</v>
      </c>
      <c r="Y104" s="245" t="s">
        <v>2270</v>
      </c>
      <c r="Z104" s="245" t="s">
        <v>2270</v>
      </c>
      <c r="AA104" s="245" t="s">
        <v>2270</v>
      </c>
      <c r="AB104" s="33" t="s">
        <v>242</v>
      </c>
      <c r="AC104" s="244" t="s">
        <v>1739</v>
      </c>
      <c r="AD104" s="235" t="s">
        <v>2268</v>
      </c>
      <c r="AE104" s="245" t="s">
        <v>2270</v>
      </c>
      <c r="AF104" s="235" t="s">
        <v>2268</v>
      </c>
      <c r="AG104" s="235" t="s">
        <v>2268</v>
      </c>
      <c r="AH104" s="235" t="s">
        <v>2268</v>
      </c>
      <c r="AI104" s="245" t="s">
        <v>2270</v>
      </c>
      <c r="AJ104" s="235" t="s">
        <v>2268</v>
      </c>
      <c r="AK104" s="244" t="s">
        <v>1739</v>
      </c>
      <c r="AL104" s="245" t="s">
        <v>2270</v>
      </c>
      <c r="AM104" s="235" t="s">
        <v>2268</v>
      </c>
      <c r="AN104" s="245" t="s">
        <v>2270</v>
      </c>
      <c r="AO104" s="245" t="s">
        <v>2270</v>
      </c>
      <c r="AP104" s="245" t="s">
        <v>2270</v>
      </c>
      <c r="AQ104" s="33"/>
      <c r="AR104" s="33"/>
      <c r="AS104" s="33"/>
    </row>
    <row r="106" spans="1:45" x14ac:dyDescent="0.25">
      <c r="A106" t="s">
        <v>2284</v>
      </c>
    </row>
    <row r="107" spans="1:45" x14ac:dyDescent="0.25">
      <c r="A107" t="s">
        <v>2285</v>
      </c>
    </row>
    <row r="109" spans="1:45" x14ac:dyDescent="0.25">
      <c r="B109" s="39" t="s">
        <v>2250</v>
      </c>
    </row>
    <row r="110" spans="1:45" x14ac:dyDescent="0.25">
      <c r="A110" t="s">
        <v>2276</v>
      </c>
      <c r="B110" s="33">
        <f>COUNTIF($A$94:$AS$104, A110)</f>
        <v>1</v>
      </c>
      <c r="D110" t="s">
        <v>2275</v>
      </c>
    </row>
    <row r="111" spans="1:45" x14ac:dyDescent="0.25">
      <c r="A111" t="s">
        <v>2264</v>
      </c>
      <c r="B111" s="33">
        <f t="shared" ref="B111:B117" si="78">COUNTIF($A$94:$AS$104, A111)</f>
        <v>14</v>
      </c>
      <c r="C111" s="32"/>
      <c r="D111" s="28" t="s">
        <v>2265</v>
      </c>
    </row>
    <row r="112" spans="1:45" x14ac:dyDescent="0.25">
      <c r="A112" t="s">
        <v>1739</v>
      </c>
      <c r="B112" s="33">
        <f t="shared" si="78"/>
        <v>80</v>
      </c>
      <c r="D112" t="s">
        <v>2266</v>
      </c>
    </row>
    <row r="113" spans="1:4" x14ac:dyDescent="0.25">
      <c r="A113" t="s">
        <v>2268</v>
      </c>
      <c r="B113" s="33">
        <f t="shared" si="78"/>
        <v>30</v>
      </c>
      <c r="D113" t="s">
        <v>2267</v>
      </c>
    </row>
    <row r="114" spans="1:4" x14ac:dyDescent="0.25">
      <c r="A114" t="s">
        <v>2270</v>
      </c>
      <c r="B114" s="33">
        <f t="shared" si="78"/>
        <v>159</v>
      </c>
      <c r="D114" t="s">
        <v>2269</v>
      </c>
    </row>
    <row r="115" spans="1:4" x14ac:dyDescent="0.25">
      <c r="A115" t="s">
        <v>2273</v>
      </c>
      <c r="B115" s="33">
        <f t="shared" si="78"/>
        <v>4</v>
      </c>
      <c r="D115" t="s">
        <v>2271</v>
      </c>
    </row>
    <row r="116" spans="1:4" x14ac:dyDescent="0.25">
      <c r="A116" t="s">
        <v>2274</v>
      </c>
      <c r="B116" s="33">
        <f t="shared" si="78"/>
        <v>1</v>
      </c>
      <c r="C116" s="32"/>
      <c r="D116" s="39" t="s">
        <v>2272</v>
      </c>
    </row>
    <row r="117" spans="1:4" x14ac:dyDescent="0.25">
      <c r="A117" t="s">
        <v>2281</v>
      </c>
      <c r="B117" s="33">
        <f t="shared" si="78"/>
        <v>0</v>
      </c>
      <c r="C117" s="32"/>
      <c r="D117" s="28" t="s">
        <v>2280</v>
      </c>
    </row>
    <row r="119" spans="1:4" x14ac:dyDescent="0.25">
      <c r="B119" s="33">
        <f>B116+B117+B111</f>
        <v>15</v>
      </c>
      <c r="D119" s="40" t="s">
        <v>2287</v>
      </c>
    </row>
  </sheetData>
  <pageMargins left="0.7" right="0.7" top="0.75" bottom="0.75" header="0.3" footer="0.3"/>
  <pageSetup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86998-6681-493F-8FD8-40F0E7638E17}">
  <dimension ref="A1:AL42"/>
  <sheetViews>
    <sheetView workbookViewId="0"/>
  </sheetViews>
  <sheetFormatPr defaultRowHeight="15" x14ac:dyDescent="0.25"/>
  <cols>
    <col min="1" max="1" width="14" style="185" customWidth="1"/>
    <col min="2" max="3" width="10.140625" style="185" bestFit="1" customWidth="1"/>
    <col min="4" max="4" width="12" style="185" bestFit="1" customWidth="1"/>
    <col min="5" max="5" width="9.140625" style="185"/>
    <col min="6" max="6" width="10.140625" style="185" bestFit="1" customWidth="1"/>
    <col min="7" max="7" width="9.140625" style="185"/>
    <col min="8" max="8" width="46" style="185" customWidth="1"/>
    <col min="9" max="10" width="9.140625" style="185"/>
    <col min="11" max="38" width="3.7109375" style="185" customWidth="1"/>
    <col min="39" max="16384" width="9.140625" style="185"/>
  </cols>
  <sheetData>
    <row r="1" spans="1:9" x14ac:dyDescent="0.25">
      <c r="A1" s="229" t="s">
        <v>2225</v>
      </c>
    </row>
    <row r="3" spans="1:9" ht="45" x14ac:dyDescent="0.25">
      <c r="A3" s="229" t="s">
        <v>2235</v>
      </c>
      <c r="B3" s="189" t="s">
        <v>2226</v>
      </c>
      <c r="C3" s="81" t="s">
        <v>2237</v>
      </c>
      <c r="D3" s="81" t="s">
        <v>2230</v>
      </c>
      <c r="E3" s="189" t="s">
        <v>2227</v>
      </c>
      <c r="F3" s="189" t="s">
        <v>2228</v>
      </c>
      <c r="G3" s="81" t="s">
        <v>2229</v>
      </c>
      <c r="H3" s="229" t="s">
        <v>388</v>
      </c>
      <c r="I3" s="229" t="s">
        <v>2236</v>
      </c>
    </row>
    <row r="4" spans="1:9" ht="60" x14ac:dyDescent="0.25">
      <c r="A4" s="187" t="s">
        <v>2238</v>
      </c>
      <c r="B4" s="227">
        <v>9400000</v>
      </c>
      <c r="C4" s="227">
        <f>13000000-9000000</f>
        <v>4000000</v>
      </c>
      <c r="D4" s="228">
        <f>C4/328000000</f>
        <v>1.2195121951219513E-2</v>
      </c>
      <c r="E4" s="185">
        <v>18</v>
      </c>
      <c r="F4" s="227">
        <f>B4*D4*E4</f>
        <v>2063414.6341463416</v>
      </c>
      <c r="G4" s="227">
        <f>F4*0.03</f>
        <v>61902.439024390245</v>
      </c>
      <c r="H4" s="187" t="s">
        <v>2233</v>
      </c>
      <c r="I4" s="185" t="s">
        <v>2232</v>
      </c>
    </row>
    <row r="5" spans="1:9" ht="30" x14ac:dyDescent="0.25">
      <c r="A5" s="187" t="s">
        <v>2239</v>
      </c>
      <c r="B5" s="227">
        <v>2900000</v>
      </c>
      <c r="C5" s="227">
        <f>18000000-13000000</f>
        <v>5000000</v>
      </c>
      <c r="D5" s="228">
        <f>C5/328000000</f>
        <v>1.524390243902439E-2</v>
      </c>
      <c r="E5" s="185">
        <v>18</v>
      </c>
      <c r="F5" s="227">
        <f>B5*D5*E5</f>
        <v>795731.70731707313</v>
      </c>
      <c r="G5" s="227">
        <f>F5*0.03</f>
        <v>23871.951219512193</v>
      </c>
      <c r="H5" s="187" t="s">
        <v>2234</v>
      </c>
      <c r="I5" s="185" t="s">
        <v>2231</v>
      </c>
    </row>
    <row r="6" spans="1:9" ht="150" x14ac:dyDescent="0.25">
      <c r="A6" s="187" t="s">
        <v>2239</v>
      </c>
      <c r="B6" s="227">
        <f>7189521*2</f>
        <v>14379042</v>
      </c>
      <c r="C6" s="227">
        <f>18000000-13000000</f>
        <v>5000000</v>
      </c>
      <c r="D6" s="228">
        <f>C6/328000000</f>
        <v>1.524390243902439E-2</v>
      </c>
      <c r="E6" s="185">
        <v>18</v>
      </c>
      <c r="F6" s="227">
        <f>B6*D6*E6</f>
        <v>3945468.8414634145</v>
      </c>
      <c r="G6" s="227">
        <f>F6*0.03</f>
        <v>118364.06524390243</v>
      </c>
      <c r="H6" s="187" t="s">
        <v>2240</v>
      </c>
      <c r="I6" s="185" t="s">
        <v>2241</v>
      </c>
    </row>
    <row r="7" spans="1:9" ht="120" x14ac:dyDescent="0.25">
      <c r="H7" s="187" t="s">
        <v>2243</v>
      </c>
      <c r="I7" s="185" t="s">
        <v>2242</v>
      </c>
    </row>
    <row r="8" spans="1:9" ht="30" x14ac:dyDescent="0.25">
      <c r="A8" s="187" t="s">
        <v>2238</v>
      </c>
      <c r="B8" s="227">
        <v>9400000</v>
      </c>
      <c r="C8" s="227">
        <f>13000000-9000000</f>
        <v>4000000</v>
      </c>
      <c r="D8" s="228">
        <f>C8/328000000</f>
        <v>1.2195121951219513E-2</v>
      </c>
      <c r="E8" s="185">
        <v>13.4</v>
      </c>
      <c r="F8" s="227">
        <f>B8*D8*E8</f>
        <v>1536097.5609756098</v>
      </c>
      <c r="G8" s="227">
        <f>F8*0.03</f>
        <v>46082.92682926829</v>
      </c>
      <c r="H8" s="187"/>
    </row>
    <row r="9" spans="1:9" ht="30" x14ac:dyDescent="0.25">
      <c r="A9" s="187" t="s">
        <v>2239</v>
      </c>
      <c r="B9" s="227">
        <f>7189521*2</f>
        <v>14379042</v>
      </c>
      <c r="C9" s="227">
        <f>18000000-13000000</f>
        <v>5000000</v>
      </c>
      <c r="D9" s="228">
        <f>C9/328000000</f>
        <v>1.524390243902439E-2</v>
      </c>
      <c r="E9" s="185">
        <v>13.4</v>
      </c>
      <c r="F9" s="227">
        <f>B9*D9*E9</f>
        <v>2937182.3597560977</v>
      </c>
      <c r="G9" s="227">
        <f>F9*0.03</f>
        <v>88115.470792682929</v>
      </c>
    </row>
    <row r="11" spans="1:9" x14ac:dyDescent="0.25">
      <c r="A11" s="189" t="s">
        <v>2246</v>
      </c>
      <c r="B11" s="185" t="s">
        <v>2244</v>
      </c>
    </row>
    <row r="12" spans="1:9" x14ac:dyDescent="0.25">
      <c r="A12" s="82">
        <v>11</v>
      </c>
      <c r="B12" s="185" t="s">
        <v>2245</v>
      </c>
    </row>
    <row r="13" spans="1:9" x14ac:dyDescent="0.25">
      <c r="A13" s="82">
        <v>16</v>
      </c>
      <c r="B13" s="185" t="s">
        <v>2247</v>
      </c>
    </row>
    <row r="14" spans="1:9" x14ac:dyDescent="0.25">
      <c r="A14" s="82">
        <v>18</v>
      </c>
      <c r="B14" t="s">
        <v>2252</v>
      </c>
    </row>
    <row r="15" spans="1:9" x14ac:dyDescent="0.25">
      <c r="A15" s="82" t="s">
        <v>2081</v>
      </c>
      <c r="B15" s="185" t="s">
        <v>2248</v>
      </c>
    </row>
    <row r="17" spans="9:38" x14ac:dyDescent="0.25">
      <c r="L17" s="185" t="s">
        <v>2260</v>
      </c>
    </row>
    <row r="19" spans="9:38" x14ac:dyDescent="0.25">
      <c r="K19"/>
      <c r="L19" s="33">
        <v>1</v>
      </c>
      <c r="M19" s="33">
        <f>L19+1</f>
        <v>2</v>
      </c>
      <c r="N19" s="33">
        <f t="shared" ref="N19:AL19" si="0">M19+1</f>
        <v>3</v>
      </c>
      <c r="O19" s="33">
        <f t="shared" si="0"/>
        <v>4</v>
      </c>
      <c r="P19" s="33">
        <f t="shared" si="0"/>
        <v>5</v>
      </c>
      <c r="Q19" s="33">
        <f t="shared" si="0"/>
        <v>6</v>
      </c>
      <c r="R19" s="33">
        <f t="shared" si="0"/>
        <v>7</v>
      </c>
      <c r="S19" s="33">
        <f t="shared" si="0"/>
        <v>8</v>
      </c>
      <c r="T19" s="33">
        <f t="shared" si="0"/>
        <v>9</v>
      </c>
      <c r="U19" s="33">
        <f t="shared" si="0"/>
        <v>10</v>
      </c>
      <c r="V19" s="33">
        <f t="shared" si="0"/>
        <v>11</v>
      </c>
      <c r="W19" s="33">
        <f t="shared" si="0"/>
        <v>12</v>
      </c>
      <c r="X19" s="33">
        <f t="shared" si="0"/>
        <v>13</v>
      </c>
      <c r="Y19" s="33">
        <f t="shared" si="0"/>
        <v>14</v>
      </c>
      <c r="Z19" s="33">
        <f t="shared" si="0"/>
        <v>15</v>
      </c>
      <c r="AA19" s="33">
        <f t="shared" si="0"/>
        <v>16</v>
      </c>
      <c r="AB19" s="33">
        <f t="shared" si="0"/>
        <v>17</v>
      </c>
      <c r="AC19" s="33">
        <f t="shared" si="0"/>
        <v>18</v>
      </c>
      <c r="AD19" s="33">
        <f t="shared" si="0"/>
        <v>19</v>
      </c>
      <c r="AE19" s="33">
        <f t="shared" si="0"/>
        <v>20</v>
      </c>
      <c r="AF19" s="33">
        <f t="shared" si="0"/>
        <v>21</v>
      </c>
      <c r="AG19" s="33">
        <f t="shared" si="0"/>
        <v>22</v>
      </c>
      <c r="AH19" s="33">
        <f t="shared" si="0"/>
        <v>23</v>
      </c>
      <c r="AI19" s="33">
        <f t="shared" si="0"/>
        <v>24</v>
      </c>
      <c r="AJ19" s="33">
        <f t="shared" si="0"/>
        <v>25</v>
      </c>
      <c r="AK19" s="33">
        <f t="shared" si="0"/>
        <v>26</v>
      </c>
      <c r="AL19" s="33">
        <f t="shared" si="0"/>
        <v>27</v>
      </c>
    </row>
    <row r="20" spans="9:38" x14ac:dyDescent="0.25">
      <c r="K20" t="s">
        <v>256</v>
      </c>
      <c r="L20" s="239">
        <v>10</v>
      </c>
      <c r="M20" s="239">
        <v>10</v>
      </c>
      <c r="N20" s="239">
        <v>10</v>
      </c>
      <c r="O20" s="239">
        <v>10</v>
      </c>
      <c r="P20" s="239">
        <v>10</v>
      </c>
      <c r="Q20" s="238">
        <v>20</v>
      </c>
      <c r="R20" s="237">
        <v>30</v>
      </c>
      <c r="S20" s="237">
        <v>30</v>
      </c>
      <c r="T20" s="237">
        <v>30</v>
      </c>
      <c r="U20" s="238">
        <v>20</v>
      </c>
      <c r="V20" s="236">
        <v>40</v>
      </c>
      <c r="W20" s="236">
        <v>40</v>
      </c>
      <c r="X20" s="235">
        <v>50</v>
      </c>
      <c r="Y20" s="236">
        <v>40</v>
      </c>
      <c r="Z20" s="236">
        <v>40</v>
      </c>
      <c r="AA20" s="239">
        <v>10</v>
      </c>
      <c r="AB20" s="239">
        <v>10</v>
      </c>
      <c r="AC20" s="239">
        <v>10</v>
      </c>
      <c r="AD20" s="239">
        <v>10</v>
      </c>
      <c r="AE20" s="239">
        <v>10</v>
      </c>
      <c r="AF20" s="239">
        <v>10</v>
      </c>
      <c r="AG20" s="239">
        <v>10</v>
      </c>
      <c r="AH20" s="239">
        <v>10</v>
      </c>
      <c r="AI20" s="239">
        <v>10</v>
      </c>
      <c r="AJ20" s="239">
        <v>10</v>
      </c>
      <c r="AK20" s="239">
        <v>10</v>
      </c>
      <c r="AL20" s="239">
        <v>10</v>
      </c>
    </row>
    <row r="21" spans="9:38" x14ac:dyDescent="0.25">
      <c r="K21" t="s">
        <v>253</v>
      </c>
      <c r="L21" s="237">
        <v>30</v>
      </c>
      <c r="M21" s="237">
        <v>30</v>
      </c>
      <c r="N21" s="237">
        <v>30</v>
      </c>
      <c r="O21" s="237">
        <v>30</v>
      </c>
      <c r="P21" s="237">
        <v>30</v>
      </c>
      <c r="Q21" s="237">
        <v>30</v>
      </c>
      <c r="R21" s="236">
        <v>40</v>
      </c>
      <c r="S21" s="236">
        <v>40</v>
      </c>
      <c r="T21" s="235">
        <v>50</v>
      </c>
      <c r="U21" s="235">
        <v>50</v>
      </c>
      <c r="V21" s="234">
        <v>60</v>
      </c>
      <c r="W21" s="234">
        <v>60</v>
      </c>
      <c r="X21" s="231">
        <v>90</v>
      </c>
      <c r="Y21" s="231">
        <v>90</v>
      </c>
      <c r="Z21" s="231">
        <v>90</v>
      </c>
      <c r="AA21" s="233">
        <v>70</v>
      </c>
      <c r="AB21" s="233">
        <v>70</v>
      </c>
      <c r="AC21" s="233">
        <v>70</v>
      </c>
      <c r="AD21" s="234">
        <v>60</v>
      </c>
      <c r="AE21" s="234">
        <v>60</v>
      </c>
      <c r="AF21" s="234">
        <v>60</v>
      </c>
      <c r="AG21" s="234">
        <v>60</v>
      </c>
      <c r="AH21" s="234">
        <v>60</v>
      </c>
      <c r="AI21" s="234">
        <v>60</v>
      </c>
      <c r="AJ21" s="234">
        <v>60</v>
      </c>
      <c r="AK21" s="234">
        <v>60</v>
      </c>
      <c r="AL21" s="234">
        <v>60</v>
      </c>
    </row>
    <row r="22" spans="9:38" x14ac:dyDescent="0.25">
      <c r="K22" t="s">
        <v>250</v>
      </c>
      <c r="L22" s="237">
        <v>30</v>
      </c>
      <c r="M22" s="237">
        <v>30</v>
      </c>
      <c r="N22" s="237">
        <v>30</v>
      </c>
      <c r="O22" s="236">
        <v>40</v>
      </c>
      <c r="P22" s="235">
        <v>50</v>
      </c>
      <c r="Q22" s="236">
        <v>40</v>
      </c>
      <c r="R22" s="235">
        <v>50</v>
      </c>
      <c r="S22" s="235">
        <v>50</v>
      </c>
      <c r="T22" s="234">
        <v>60</v>
      </c>
      <c r="U22" s="234">
        <v>60</v>
      </c>
      <c r="V22" s="234">
        <v>60</v>
      </c>
      <c r="W22" s="234">
        <v>60</v>
      </c>
      <c r="X22" s="230">
        <v>100</v>
      </c>
      <c r="Y22" s="230">
        <v>100</v>
      </c>
      <c r="Z22" s="230">
        <v>100</v>
      </c>
      <c r="AA22" s="232">
        <v>80</v>
      </c>
      <c r="AB22" s="232">
        <v>80</v>
      </c>
      <c r="AC22" s="233">
        <v>70</v>
      </c>
      <c r="AD22" s="233">
        <v>70</v>
      </c>
      <c r="AE22" s="234">
        <v>60</v>
      </c>
      <c r="AF22" s="234">
        <v>60</v>
      </c>
      <c r="AG22" s="234">
        <v>60</v>
      </c>
      <c r="AH22" s="234">
        <v>60</v>
      </c>
      <c r="AI22" s="234">
        <v>60</v>
      </c>
      <c r="AJ22" s="234">
        <v>60</v>
      </c>
      <c r="AK22" s="234">
        <v>60</v>
      </c>
      <c r="AL22" s="234">
        <v>60</v>
      </c>
    </row>
    <row r="23" spans="9:38" x14ac:dyDescent="0.25">
      <c r="K2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47" t="s">
        <v>2249</v>
      </c>
      <c r="AL23" s="230">
        <v>100</v>
      </c>
    </row>
    <row r="24" spans="9:38" x14ac:dyDescent="0.25">
      <c r="K24" t="s">
        <v>247</v>
      </c>
      <c r="L24" s="237">
        <v>30</v>
      </c>
      <c r="M24" s="237">
        <v>30</v>
      </c>
      <c r="N24" s="237">
        <v>30</v>
      </c>
      <c r="O24" s="236">
        <v>40</v>
      </c>
      <c r="P24" s="236">
        <v>40</v>
      </c>
      <c r="Q24" s="236">
        <v>40</v>
      </c>
      <c r="R24" s="235">
        <v>50</v>
      </c>
      <c r="S24" s="234">
        <v>60</v>
      </c>
      <c r="T24" s="233">
        <v>70</v>
      </c>
      <c r="U24" s="234">
        <v>60</v>
      </c>
      <c r="V24" s="234">
        <v>60</v>
      </c>
      <c r="W24" s="234">
        <v>60</v>
      </c>
      <c r="X24" s="230">
        <v>100</v>
      </c>
      <c r="Y24" s="230" t="s">
        <v>264</v>
      </c>
      <c r="Z24" s="230">
        <v>100</v>
      </c>
      <c r="AA24" s="232">
        <v>80</v>
      </c>
      <c r="AB24" s="232">
        <v>80</v>
      </c>
      <c r="AC24" s="233">
        <v>70</v>
      </c>
      <c r="AD24" s="233">
        <v>70</v>
      </c>
      <c r="AE24" s="234">
        <v>60</v>
      </c>
      <c r="AF24" s="234">
        <v>60</v>
      </c>
      <c r="AG24" s="234">
        <v>60</v>
      </c>
      <c r="AH24" s="234">
        <v>60</v>
      </c>
      <c r="AI24" s="234">
        <v>60</v>
      </c>
      <c r="AJ24" s="234">
        <v>60</v>
      </c>
      <c r="AK24" s="234">
        <v>60</v>
      </c>
      <c r="AL24" s="234">
        <v>60</v>
      </c>
    </row>
    <row r="25" spans="9:38" x14ac:dyDescent="0.25">
      <c r="K25" t="s">
        <v>244</v>
      </c>
      <c r="L25" s="236">
        <v>40</v>
      </c>
      <c r="M25" s="237">
        <v>30</v>
      </c>
      <c r="N25" s="237">
        <v>30</v>
      </c>
      <c r="O25" s="237">
        <v>30</v>
      </c>
      <c r="P25" s="237">
        <v>30</v>
      </c>
      <c r="Q25" s="237">
        <v>30</v>
      </c>
      <c r="R25" s="236">
        <v>40</v>
      </c>
      <c r="S25" s="236">
        <v>40</v>
      </c>
      <c r="T25" s="235">
        <v>50</v>
      </c>
      <c r="U25" s="235">
        <v>50</v>
      </c>
      <c r="V25" s="234">
        <v>60</v>
      </c>
      <c r="W25" s="234">
        <v>60</v>
      </c>
      <c r="X25" s="230">
        <v>100</v>
      </c>
      <c r="Y25" s="230">
        <v>100</v>
      </c>
      <c r="Z25" s="230">
        <v>100</v>
      </c>
      <c r="AA25" s="233">
        <v>70</v>
      </c>
      <c r="AB25" s="233">
        <v>70</v>
      </c>
      <c r="AC25" s="233">
        <v>70</v>
      </c>
      <c r="AD25" s="234">
        <v>60</v>
      </c>
      <c r="AE25" s="234">
        <v>60</v>
      </c>
      <c r="AF25" s="234">
        <v>60</v>
      </c>
      <c r="AG25" s="234">
        <v>60</v>
      </c>
      <c r="AH25" s="234">
        <v>60</v>
      </c>
      <c r="AI25" s="234">
        <v>60</v>
      </c>
      <c r="AJ25" s="234">
        <v>60</v>
      </c>
      <c r="AK25" s="234">
        <v>60</v>
      </c>
      <c r="AL25" s="234">
        <v>60</v>
      </c>
    </row>
    <row r="26" spans="9:38" x14ac:dyDescent="0.25">
      <c r="K26" t="s">
        <v>242</v>
      </c>
      <c r="L26" s="239">
        <v>10</v>
      </c>
      <c r="M26" s="239">
        <v>10</v>
      </c>
      <c r="N26" s="239">
        <v>10</v>
      </c>
      <c r="O26" s="239">
        <v>10</v>
      </c>
      <c r="P26" s="239">
        <v>10</v>
      </c>
      <c r="Q26" s="238">
        <v>20</v>
      </c>
      <c r="R26" s="237">
        <v>30</v>
      </c>
      <c r="S26" s="237">
        <v>30</v>
      </c>
      <c r="T26" s="237">
        <v>30</v>
      </c>
      <c r="U26" s="237">
        <v>30</v>
      </c>
      <c r="V26" s="236">
        <v>40</v>
      </c>
      <c r="W26" s="236">
        <v>40</v>
      </c>
      <c r="X26" s="230">
        <v>100</v>
      </c>
      <c r="Y26" s="230">
        <v>100</v>
      </c>
      <c r="Z26" s="230">
        <v>100</v>
      </c>
      <c r="AA26" s="239">
        <v>10</v>
      </c>
      <c r="AB26" s="239">
        <v>10</v>
      </c>
      <c r="AC26" s="239">
        <v>10</v>
      </c>
      <c r="AD26" s="239">
        <v>10</v>
      </c>
      <c r="AE26" s="239">
        <v>10</v>
      </c>
      <c r="AF26" s="239">
        <v>10</v>
      </c>
      <c r="AG26" s="239">
        <v>10</v>
      </c>
      <c r="AH26" s="239">
        <v>10</v>
      </c>
      <c r="AI26" s="239">
        <v>10</v>
      </c>
      <c r="AJ26" s="239">
        <v>10</v>
      </c>
      <c r="AK26" s="239">
        <v>10</v>
      </c>
      <c r="AL26" s="239">
        <v>10</v>
      </c>
    </row>
    <row r="27" spans="9:38" x14ac:dyDescent="0.25">
      <c r="K27"/>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row>
    <row r="28" spans="9:38" x14ac:dyDescent="0.25">
      <c r="L28" s="185" t="s">
        <v>2254</v>
      </c>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row>
    <row r="29" spans="9:38" x14ac:dyDescent="0.25">
      <c r="L29" t="s">
        <v>2257</v>
      </c>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row>
    <row r="30" spans="9:38" x14ac:dyDescent="0.25">
      <c r="L30" t="s">
        <v>2244</v>
      </c>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row>
    <row r="31" spans="9:38" x14ac:dyDescent="0.25">
      <c r="I31" s="32" t="s">
        <v>1490</v>
      </c>
      <c r="J31" s="39" t="s">
        <v>2250</v>
      </c>
      <c r="K31" s="33"/>
      <c r="L31" s="185" t="s">
        <v>2246</v>
      </c>
      <c r="M31" s="33"/>
      <c r="N31" s="185" t="s">
        <v>2096</v>
      </c>
      <c r="O31" s="33"/>
      <c r="P31" s="33" t="s">
        <v>2246</v>
      </c>
      <c r="Q31" s="33"/>
      <c r="R31" s="33"/>
      <c r="S31" s="33"/>
      <c r="T31" s="33"/>
      <c r="U31" s="33"/>
      <c r="V31" s="33"/>
      <c r="W31" s="33"/>
      <c r="X31" s="33"/>
      <c r="Y31" s="33"/>
      <c r="Z31" s="33"/>
      <c r="AA31" s="33"/>
      <c r="AB31" s="33"/>
      <c r="AC31" s="33"/>
      <c r="AD31" s="33"/>
      <c r="AE31" s="33"/>
      <c r="AF31" s="33"/>
      <c r="AG31" s="33"/>
      <c r="AH31" s="33"/>
      <c r="AI31" s="33"/>
      <c r="AJ31" s="33"/>
      <c r="AK31" s="33"/>
      <c r="AL31" s="33"/>
    </row>
    <row r="32" spans="9:38" x14ac:dyDescent="0.25">
      <c r="I32">
        <v>10</v>
      </c>
      <c r="J32" s="33">
        <f>COUNTIF($L$20:$AL$26, I32)</f>
        <v>34</v>
      </c>
      <c r="K32" s="33"/>
      <c r="L32" s="185">
        <f t="shared" ref="L32:L41" si="1">J32*I32/100</f>
        <v>3.4</v>
      </c>
      <c r="M32" s="33"/>
      <c r="N32" s="185">
        <v>10</v>
      </c>
      <c r="O32" s="33"/>
      <c r="P32" s="33">
        <f>L32*N32/100</f>
        <v>0.34</v>
      </c>
      <c r="Q32" s="33"/>
      <c r="R32" s="33"/>
      <c r="S32" s="40" t="s">
        <v>2244</v>
      </c>
      <c r="U32" s="33"/>
      <c r="V32" s="33"/>
      <c r="W32" s="33"/>
      <c r="X32" s="33"/>
      <c r="Y32" s="33"/>
      <c r="Z32" s="33"/>
      <c r="AA32" s="33"/>
      <c r="AB32" s="33"/>
      <c r="AC32" s="33"/>
      <c r="AD32" s="33"/>
      <c r="AE32" s="33"/>
      <c r="AF32" s="33"/>
      <c r="AG32" s="33"/>
      <c r="AH32" s="33"/>
      <c r="AI32" s="33"/>
      <c r="AJ32" s="33"/>
      <c r="AK32" s="33"/>
      <c r="AL32" s="33"/>
    </row>
    <row r="33" spans="9:38" x14ac:dyDescent="0.25">
      <c r="I33">
        <v>20</v>
      </c>
      <c r="J33" s="33">
        <f t="shared" ref="J33:J41" si="2">COUNTIF($L$20:$AL$26, I33)</f>
        <v>3</v>
      </c>
      <c r="K33" s="33"/>
      <c r="L33" s="185">
        <f t="shared" si="1"/>
        <v>0.6</v>
      </c>
      <c r="M33" s="33"/>
      <c r="N33" s="185">
        <v>10</v>
      </c>
      <c r="O33" s="33"/>
      <c r="P33" s="33">
        <f t="shared" ref="P33:P40" si="3">L33*N33/100</f>
        <v>0.06</v>
      </c>
      <c r="Q33" s="33"/>
      <c r="R33" s="33"/>
      <c r="S33" s="40" t="s">
        <v>2251</v>
      </c>
      <c r="U33" s="33"/>
      <c r="V33" s="33"/>
      <c r="W33" s="33"/>
      <c r="X33" s="33"/>
      <c r="Y33" s="33"/>
      <c r="Z33" s="33"/>
      <c r="AA33" s="33"/>
      <c r="AB33" s="33"/>
      <c r="AC33" s="33"/>
      <c r="AD33" s="33"/>
      <c r="AE33" s="33"/>
      <c r="AF33" s="33"/>
      <c r="AG33" s="33"/>
      <c r="AH33" s="33"/>
      <c r="AI33" s="33"/>
      <c r="AJ33" s="33"/>
      <c r="AK33" s="33"/>
      <c r="AL33" s="33"/>
    </row>
    <row r="34" spans="9:38" x14ac:dyDescent="0.25">
      <c r="I34">
        <v>30</v>
      </c>
      <c r="J34" s="33">
        <f t="shared" si="2"/>
        <v>24</v>
      </c>
      <c r="K34" s="33"/>
      <c r="L34" s="185">
        <f t="shared" si="1"/>
        <v>7.2</v>
      </c>
      <c r="M34" s="33"/>
      <c r="N34" s="185">
        <v>10</v>
      </c>
      <c r="O34" s="33"/>
      <c r="P34" s="33">
        <f t="shared" si="3"/>
        <v>0.72</v>
      </c>
      <c r="Q34" s="33"/>
      <c r="R34" s="33"/>
      <c r="S34" s="40" t="s">
        <v>2252</v>
      </c>
      <c r="U34" s="33"/>
      <c r="V34" s="33"/>
      <c r="W34" s="33"/>
      <c r="X34" s="33"/>
      <c r="Y34" s="33"/>
      <c r="Z34" s="33"/>
      <c r="AA34" s="33"/>
      <c r="AB34" s="33"/>
      <c r="AC34" s="33"/>
      <c r="AD34" s="33"/>
      <c r="AE34" s="33"/>
      <c r="AF34" s="33"/>
      <c r="AG34" s="33"/>
      <c r="AH34" s="33"/>
      <c r="AI34" s="33"/>
      <c r="AJ34" s="33"/>
      <c r="AK34" s="33"/>
      <c r="AL34" s="33"/>
    </row>
    <row r="35" spans="9:38" x14ac:dyDescent="0.25">
      <c r="I35">
        <v>40</v>
      </c>
      <c r="J35" s="33">
        <f t="shared" si="2"/>
        <v>16</v>
      </c>
      <c r="K35" s="33"/>
      <c r="L35" s="185">
        <f t="shared" si="1"/>
        <v>6.4</v>
      </c>
      <c r="M35" s="33"/>
      <c r="N35" s="185">
        <v>10</v>
      </c>
      <c r="O35" s="33"/>
      <c r="P35" s="33">
        <f t="shared" si="3"/>
        <v>0.64</v>
      </c>
      <c r="Q35" s="33"/>
      <c r="R35" s="33"/>
      <c r="S35" s="33"/>
      <c r="T35" s="33"/>
      <c r="U35" s="33"/>
      <c r="V35" s="33"/>
      <c r="W35" s="33"/>
      <c r="X35" s="33"/>
      <c r="Y35" s="33"/>
      <c r="Z35" s="33"/>
      <c r="AA35" s="33"/>
      <c r="AB35" s="33"/>
      <c r="AC35" s="33"/>
      <c r="AD35" s="33"/>
      <c r="AE35" s="33"/>
      <c r="AF35" s="33"/>
      <c r="AG35" s="33"/>
      <c r="AH35" s="33"/>
      <c r="AI35" s="33"/>
      <c r="AJ35" s="33"/>
      <c r="AK35" s="33"/>
      <c r="AL35" s="33"/>
    </row>
    <row r="36" spans="9:38" x14ac:dyDescent="0.25">
      <c r="I36">
        <v>50</v>
      </c>
      <c r="J36" s="33">
        <f t="shared" si="2"/>
        <v>9</v>
      </c>
      <c r="K36" s="33"/>
      <c r="L36" s="185">
        <f t="shared" si="1"/>
        <v>4.5</v>
      </c>
      <c r="M36" s="33"/>
      <c r="N36" s="185">
        <v>10</v>
      </c>
      <c r="O36" s="33"/>
      <c r="P36" s="33">
        <f t="shared" si="3"/>
        <v>0.45</v>
      </c>
      <c r="Q36" s="33"/>
      <c r="R36" s="33"/>
      <c r="S36" s="33"/>
      <c r="T36" s="33"/>
      <c r="U36" s="33"/>
      <c r="V36" s="33"/>
      <c r="W36" s="33"/>
      <c r="X36" s="33"/>
      <c r="Y36" s="33"/>
      <c r="Z36" s="33"/>
      <c r="AA36" s="33"/>
      <c r="AB36" s="33"/>
      <c r="AC36" s="33"/>
      <c r="AD36" s="33"/>
      <c r="AE36" s="33"/>
      <c r="AF36" s="33"/>
      <c r="AG36" s="33"/>
      <c r="AH36" s="33"/>
      <c r="AI36" s="33"/>
      <c r="AJ36" s="33"/>
      <c r="AK36" s="33"/>
      <c r="AL36" s="33"/>
    </row>
    <row r="37" spans="9:38" x14ac:dyDescent="0.25">
      <c r="I37">
        <v>60</v>
      </c>
      <c r="J37" s="33">
        <f t="shared" si="2"/>
        <v>46</v>
      </c>
      <c r="K37" s="33"/>
      <c r="L37" s="185">
        <f t="shared" si="1"/>
        <v>27.6</v>
      </c>
      <c r="M37" s="33"/>
      <c r="N37" s="185">
        <v>10</v>
      </c>
      <c r="O37" s="33"/>
      <c r="P37" s="33">
        <f t="shared" si="3"/>
        <v>2.76</v>
      </c>
      <c r="Q37" s="33"/>
      <c r="R37" s="33"/>
      <c r="S37" s="40" t="s">
        <v>2255</v>
      </c>
      <c r="T37" s="33"/>
      <c r="U37" s="33"/>
      <c r="V37" s="33"/>
      <c r="W37" s="33"/>
      <c r="X37" s="33"/>
      <c r="Y37" s="33"/>
      <c r="Z37" s="33"/>
      <c r="AA37" s="33"/>
      <c r="AB37" s="33"/>
      <c r="AC37" s="33"/>
      <c r="AD37" s="33"/>
      <c r="AE37" s="33"/>
      <c r="AF37" s="33"/>
      <c r="AG37" s="33"/>
      <c r="AH37" s="33"/>
      <c r="AI37" s="33"/>
      <c r="AJ37" s="33"/>
      <c r="AK37" s="33"/>
      <c r="AL37" s="33"/>
    </row>
    <row r="38" spans="9:38" x14ac:dyDescent="0.25">
      <c r="I38">
        <v>70</v>
      </c>
      <c r="J38" s="33">
        <f t="shared" si="2"/>
        <v>11</v>
      </c>
      <c r="K38" s="33"/>
      <c r="L38" s="185">
        <f t="shared" si="1"/>
        <v>7.7</v>
      </c>
      <c r="M38" s="33"/>
      <c r="N38" s="185">
        <v>10</v>
      </c>
      <c r="O38" s="33"/>
      <c r="P38" s="33">
        <f t="shared" si="3"/>
        <v>0.77</v>
      </c>
      <c r="Q38" s="33"/>
      <c r="R38" s="33"/>
      <c r="S38" s="33"/>
      <c r="T38" s="33"/>
      <c r="U38" s="33"/>
      <c r="V38" s="33"/>
      <c r="W38" s="33"/>
      <c r="X38" s="33"/>
      <c r="Y38" s="33"/>
      <c r="Z38" s="33"/>
      <c r="AA38" s="33"/>
      <c r="AB38" s="33"/>
      <c r="AC38" s="33"/>
      <c r="AD38" s="33"/>
      <c r="AE38" s="33"/>
      <c r="AF38" s="33"/>
      <c r="AG38" s="33"/>
      <c r="AH38" s="33"/>
      <c r="AI38" s="33"/>
      <c r="AJ38" s="33"/>
      <c r="AK38" s="33"/>
      <c r="AL38" s="33"/>
    </row>
    <row r="39" spans="9:38" x14ac:dyDescent="0.25">
      <c r="I39">
        <v>80</v>
      </c>
      <c r="J39" s="33">
        <f t="shared" si="2"/>
        <v>4</v>
      </c>
      <c r="K39" s="33"/>
      <c r="L39" s="185">
        <f t="shared" si="1"/>
        <v>3.2</v>
      </c>
      <c r="M39" s="33"/>
      <c r="N39" s="185">
        <v>10</v>
      </c>
      <c r="O39" s="33"/>
      <c r="P39" s="33">
        <f t="shared" si="3"/>
        <v>0.32</v>
      </c>
      <c r="Q39" s="33"/>
      <c r="R39" s="33"/>
      <c r="S39" s="33"/>
      <c r="T39" s="33"/>
      <c r="U39" s="33"/>
      <c r="V39" s="33"/>
      <c r="W39" s="33"/>
      <c r="X39" s="33"/>
      <c r="Y39" s="33"/>
      <c r="Z39" s="33"/>
      <c r="AA39" s="33"/>
      <c r="AB39" s="33"/>
      <c r="AC39" s="33"/>
      <c r="AD39" s="33"/>
      <c r="AE39" s="33"/>
      <c r="AF39" s="33"/>
      <c r="AG39" s="33"/>
      <c r="AH39" s="33"/>
      <c r="AI39" s="33"/>
      <c r="AJ39" s="33"/>
      <c r="AK39" s="33"/>
      <c r="AL39" s="33"/>
    </row>
    <row r="40" spans="9:38" x14ac:dyDescent="0.25">
      <c r="I40">
        <v>90</v>
      </c>
      <c r="J40" s="33">
        <f t="shared" si="2"/>
        <v>3</v>
      </c>
      <c r="K40" s="33"/>
      <c r="L40" s="185">
        <f t="shared" si="1"/>
        <v>2.7</v>
      </c>
      <c r="M40" s="33"/>
      <c r="N40" s="185">
        <v>10</v>
      </c>
      <c r="O40" s="33"/>
      <c r="P40" s="33">
        <f t="shared" si="3"/>
        <v>0.27</v>
      </c>
      <c r="Q40" s="33"/>
      <c r="R40" s="33"/>
      <c r="S40" s="33"/>
      <c r="T40" s="33"/>
      <c r="U40" s="33"/>
      <c r="V40" s="33"/>
      <c r="W40" s="33"/>
      <c r="X40" s="33"/>
      <c r="Y40" s="33"/>
      <c r="Z40" s="33"/>
      <c r="AA40" s="33"/>
      <c r="AB40" s="33"/>
      <c r="AC40" s="33"/>
      <c r="AD40" s="33"/>
      <c r="AE40" s="33"/>
      <c r="AF40" s="33"/>
      <c r="AG40" s="33"/>
      <c r="AH40" s="33"/>
      <c r="AI40" s="33"/>
      <c r="AJ40" s="33"/>
      <c r="AK40" s="33"/>
      <c r="AL40" s="33"/>
    </row>
    <row r="41" spans="9:38" x14ac:dyDescent="0.25">
      <c r="I41">
        <v>100</v>
      </c>
      <c r="J41" s="33">
        <f t="shared" si="2"/>
        <v>12</v>
      </c>
      <c r="K41" s="33"/>
      <c r="L41" s="185">
        <f t="shared" si="1"/>
        <v>12</v>
      </c>
      <c r="M41" s="33"/>
      <c r="N41" s="185">
        <v>100</v>
      </c>
      <c r="O41" s="33"/>
      <c r="P41" s="33">
        <f>L41*N41/100</f>
        <v>12</v>
      </c>
      <c r="Q41" s="33"/>
      <c r="R41" s="33"/>
      <c r="S41" s="40" t="s">
        <v>2253</v>
      </c>
      <c r="T41" s="33"/>
      <c r="U41" s="33"/>
      <c r="V41" s="33"/>
      <c r="W41" s="33"/>
      <c r="X41" s="33"/>
      <c r="Y41" s="33"/>
      <c r="Z41" s="33"/>
      <c r="AA41" s="33"/>
      <c r="AB41" s="33"/>
      <c r="AC41" s="33"/>
      <c r="AD41" s="33"/>
      <c r="AE41" s="33"/>
      <c r="AF41" s="33"/>
      <c r="AG41" s="33"/>
      <c r="AH41" s="33"/>
      <c r="AI41" s="33"/>
      <c r="AJ41" s="33"/>
      <c r="AK41" s="33"/>
      <c r="AL41" s="33"/>
    </row>
    <row r="42" spans="9:38" x14ac:dyDescent="0.25">
      <c r="J42" s="185" t="s">
        <v>1942</v>
      </c>
      <c r="L42" s="185">
        <f>SUM(L32:L41)</f>
        <v>75.300000000000011</v>
      </c>
      <c r="P42" s="229">
        <f>SUM(P32:P41)</f>
        <v>18.329999999999998</v>
      </c>
      <c r="S42" s="185" t="s">
        <v>2256</v>
      </c>
    </row>
  </sheetData>
  <pageMargins left="0.7" right="0.7" top="0.75" bottom="0.75" header="0.3" footer="0.3"/>
  <pageSetup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25217-1D7D-49EE-AA37-C5FE4B6A967B}">
  <dimension ref="A1:O73"/>
  <sheetViews>
    <sheetView workbookViewId="0"/>
  </sheetViews>
  <sheetFormatPr defaultRowHeight="15" x14ac:dyDescent="0.25"/>
  <cols>
    <col min="1" max="1" width="12.5703125" customWidth="1"/>
    <col min="8" max="8" width="15" bestFit="1" customWidth="1"/>
    <col min="9" max="9" width="24.42578125" bestFit="1" customWidth="1"/>
    <col min="12" max="12" width="17.7109375" customWidth="1"/>
    <col min="13" max="13" width="18" customWidth="1"/>
    <col min="14" max="14" width="44.42578125" bestFit="1" customWidth="1"/>
    <col min="15" max="15" width="20.140625" bestFit="1" customWidth="1"/>
  </cols>
  <sheetData>
    <row r="1" spans="1:15" x14ac:dyDescent="0.25">
      <c r="A1" t="s">
        <v>2305</v>
      </c>
    </row>
    <row r="3" spans="1:15" ht="45" x14ac:dyDescent="0.25">
      <c r="A3" s="2" t="s">
        <v>1264</v>
      </c>
      <c r="B3" s="2" t="s">
        <v>2382</v>
      </c>
      <c r="C3" s="2" t="s">
        <v>2308</v>
      </c>
      <c r="D3" s="2" t="s">
        <v>2384</v>
      </c>
      <c r="E3" s="2" t="s">
        <v>2375</v>
      </c>
      <c r="F3" t="s">
        <v>388</v>
      </c>
    </row>
    <row r="4" spans="1:15" x14ac:dyDescent="0.25">
      <c r="A4" s="248">
        <v>44179</v>
      </c>
      <c r="B4">
        <v>0</v>
      </c>
      <c r="F4" t="s">
        <v>2421</v>
      </c>
    </row>
    <row r="5" spans="1:15" x14ac:dyDescent="0.25">
      <c r="A5" s="248">
        <v>44193</v>
      </c>
      <c r="B5" s="30">
        <v>2100000</v>
      </c>
      <c r="C5" s="30">
        <f>B5/(A5-A4)</f>
        <v>150000</v>
      </c>
      <c r="D5" s="30">
        <f>300000000/C5</f>
        <v>2000</v>
      </c>
      <c r="E5" s="31">
        <f>D5/365</f>
        <v>5.4794520547945202</v>
      </c>
      <c r="G5" t="s">
        <v>2309</v>
      </c>
    </row>
    <row r="6" spans="1:15" x14ac:dyDescent="0.25">
      <c r="A6" s="248">
        <v>44197</v>
      </c>
      <c r="B6" s="30">
        <v>2800000</v>
      </c>
      <c r="C6" s="30">
        <f>B6/(A6-A4)</f>
        <v>155555.55555555556</v>
      </c>
      <c r="D6" s="30">
        <f>300000000/C6</f>
        <v>1928.5714285714284</v>
      </c>
      <c r="E6" s="31">
        <f>D6/365</f>
        <v>5.283757338551859</v>
      </c>
      <c r="F6" t="s">
        <v>2422</v>
      </c>
    </row>
    <row r="7" spans="1:15" x14ac:dyDescent="0.25">
      <c r="A7" s="248">
        <v>44208</v>
      </c>
      <c r="B7" s="30">
        <v>9300000</v>
      </c>
      <c r="C7" s="30">
        <f>B7/(A7-A5)</f>
        <v>620000</v>
      </c>
      <c r="D7" s="30">
        <f>300000000/C7</f>
        <v>483.87096774193549</v>
      </c>
      <c r="E7" s="31">
        <f>D7/365</f>
        <v>1.3256738842244808</v>
      </c>
    </row>
    <row r="10" spans="1:15" x14ac:dyDescent="0.25">
      <c r="G10" t="s">
        <v>2307</v>
      </c>
    </row>
    <row r="11" spans="1:15" x14ac:dyDescent="0.25">
      <c r="G11" t="s">
        <v>2310</v>
      </c>
      <c r="H11" t="s">
        <v>2311</v>
      </c>
      <c r="I11" t="s">
        <v>2312</v>
      </c>
      <c r="J11" t="s">
        <v>2313</v>
      </c>
    </row>
    <row r="12" spans="1:15" x14ac:dyDescent="0.25">
      <c r="A12" s="28">
        <v>30</v>
      </c>
      <c r="B12" t="s">
        <v>2423</v>
      </c>
      <c r="G12" t="s">
        <v>2306</v>
      </c>
      <c r="H12" s="30">
        <v>1762900</v>
      </c>
      <c r="I12" s="30">
        <v>437900</v>
      </c>
      <c r="J12" s="30">
        <v>70258</v>
      </c>
      <c r="L12" t="s">
        <v>2422</v>
      </c>
    </row>
    <row r="13" spans="1:15" x14ac:dyDescent="0.25">
      <c r="A13" s="29">
        <v>300000000</v>
      </c>
      <c r="B13" t="s">
        <v>2376</v>
      </c>
      <c r="G13" t="s">
        <v>2314</v>
      </c>
      <c r="H13" s="30">
        <v>1207525</v>
      </c>
      <c r="I13" s="30">
        <v>262800</v>
      </c>
      <c r="J13" s="30">
        <v>83967</v>
      </c>
      <c r="L13" t="s">
        <v>1379</v>
      </c>
      <c r="M13" t="s">
        <v>2386</v>
      </c>
      <c r="N13" t="s">
        <v>548</v>
      </c>
      <c r="O13" t="s">
        <v>2385</v>
      </c>
    </row>
    <row r="14" spans="1:15" x14ac:dyDescent="0.25">
      <c r="A14" s="30">
        <f>(A12/60)*A13</f>
        <v>150000000</v>
      </c>
      <c r="B14" t="s">
        <v>2377</v>
      </c>
      <c r="G14" t="s">
        <v>2315</v>
      </c>
      <c r="H14" s="30">
        <v>964950</v>
      </c>
      <c r="I14" s="30">
        <v>184275</v>
      </c>
      <c r="J14" s="30">
        <v>68133</v>
      </c>
      <c r="L14" t="s">
        <v>55</v>
      </c>
      <c r="M14" t="s">
        <v>2388</v>
      </c>
      <c r="N14" t="s">
        <v>2387</v>
      </c>
      <c r="O14" s="209">
        <v>44196</v>
      </c>
    </row>
    <row r="15" spans="1:15" x14ac:dyDescent="0.25">
      <c r="A15" s="30">
        <f>A14/2000</f>
        <v>75000</v>
      </c>
      <c r="B15" t="s">
        <v>2383</v>
      </c>
      <c r="G15" t="s">
        <v>2316</v>
      </c>
      <c r="H15" s="30">
        <v>909425</v>
      </c>
      <c r="I15" s="30">
        <v>630000</v>
      </c>
      <c r="J15" s="30">
        <v>89000</v>
      </c>
      <c r="L15" t="s">
        <v>49</v>
      </c>
      <c r="M15" t="s">
        <v>2390</v>
      </c>
      <c r="N15" t="s">
        <v>2389</v>
      </c>
      <c r="O15" s="209">
        <v>44195</v>
      </c>
    </row>
    <row r="16" spans="1:15" x14ac:dyDescent="0.25">
      <c r="A16" s="30">
        <f>A15*1</f>
        <v>75000</v>
      </c>
      <c r="B16" t="s">
        <v>2378</v>
      </c>
      <c r="G16" t="s">
        <v>2317</v>
      </c>
      <c r="H16" s="30">
        <v>785275</v>
      </c>
      <c r="I16" s="30">
        <v>158000</v>
      </c>
      <c r="J16" s="30">
        <v>3100</v>
      </c>
      <c r="L16" t="s">
        <v>134</v>
      </c>
      <c r="M16" t="s">
        <v>2392</v>
      </c>
      <c r="N16" t="s">
        <v>2391</v>
      </c>
      <c r="O16" s="209">
        <v>44197</v>
      </c>
    </row>
    <row r="17" spans="1:15" x14ac:dyDescent="0.25">
      <c r="A17" s="30">
        <f>A15*2</f>
        <v>150000</v>
      </c>
      <c r="B17" t="s">
        <v>2379</v>
      </c>
      <c r="G17" t="s">
        <v>2318</v>
      </c>
      <c r="H17" t="s">
        <v>2319</v>
      </c>
      <c r="I17" s="30">
        <v>73000</v>
      </c>
      <c r="J17" t="s">
        <v>2319</v>
      </c>
      <c r="L17" t="s">
        <v>81</v>
      </c>
      <c r="M17" t="s">
        <v>2390</v>
      </c>
      <c r="N17" t="s">
        <v>2391</v>
      </c>
      <c r="O17" s="209">
        <v>44197</v>
      </c>
    </row>
    <row r="18" spans="1:15" x14ac:dyDescent="0.25">
      <c r="G18" t="s">
        <v>2320</v>
      </c>
      <c r="H18" t="s">
        <v>2319</v>
      </c>
      <c r="I18" s="30">
        <v>85000</v>
      </c>
      <c r="J18" s="30">
        <v>3100</v>
      </c>
      <c r="L18" t="s">
        <v>26</v>
      </c>
      <c r="M18" t="s">
        <v>2390</v>
      </c>
      <c r="N18" t="s">
        <v>2393</v>
      </c>
      <c r="O18" s="209">
        <v>44197</v>
      </c>
    </row>
    <row r="19" spans="1:15" x14ac:dyDescent="0.25">
      <c r="A19" s="30">
        <f>A13/365</f>
        <v>821917.80821917811</v>
      </c>
      <c r="B19" t="s">
        <v>2380</v>
      </c>
      <c r="G19" t="s">
        <v>2321</v>
      </c>
      <c r="H19" t="s">
        <v>2319</v>
      </c>
      <c r="I19" t="s">
        <v>2319</v>
      </c>
      <c r="J19" t="s">
        <v>2319</v>
      </c>
      <c r="L19" t="s">
        <v>44</v>
      </c>
      <c r="M19" t="s">
        <v>2390</v>
      </c>
      <c r="N19" t="s">
        <v>2394</v>
      </c>
      <c r="O19" s="209">
        <v>44192</v>
      </c>
    </row>
    <row r="20" spans="1:15" x14ac:dyDescent="0.25">
      <c r="A20" s="30">
        <f>A19*2</f>
        <v>1643835.6164383562</v>
      </c>
      <c r="B20" t="s">
        <v>2381</v>
      </c>
      <c r="G20" t="s">
        <v>2322</v>
      </c>
      <c r="H20" s="30">
        <v>596125</v>
      </c>
      <c r="I20" s="30">
        <v>141405</v>
      </c>
      <c r="J20" s="30">
        <v>50466</v>
      </c>
      <c r="L20" t="s">
        <v>28</v>
      </c>
      <c r="M20" t="s">
        <v>2396</v>
      </c>
      <c r="N20" t="s">
        <v>2395</v>
      </c>
      <c r="O20" s="209">
        <v>44196</v>
      </c>
    </row>
    <row r="21" spans="1:15" x14ac:dyDescent="0.25">
      <c r="G21" t="s">
        <v>2323</v>
      </c>
      <c r="H21" s="30">
        <v>583575</v>
      </c>
      <c r="I21" s="30">
        <v>109000</v>
      </c>
      <c r="J21" s="30">
        <v>100991</v>
      </c>
      <c r="L21" t="s">
        <v>152</v>
      </c>
      <c r="M21" t="s">
        <v>2390</v>
      </c>
      <c r="N21" t="s">
        <v>2397</v>
      </c>
      <c r="O21" s="209">
        <v>44189</v>
      </c>
    </row>
    <row r="22" spans="1:15" x14ac:dyDescent="0.25">
      <c r="G22" t="s">
        <v>2324</v>
      </c>
      <c r="H22" s="30">
        <v>529975</v>
      </c>
      <c r="I22" s="30">
        <v>98475</v>
      </c>
      <c r="J22" s="30">
        <v>11700</v>
      </c>
      <c r="L22" t="s">
        <v>87</v>
      </c>
      <c r="M22" t="s">
        <v>2390</v>
      </c>
      <c r="N22" t="s">
        <v>2391</v>
      </c>
      <c r="O22" s="209">
        <v>44195</v>
      </c>
    </row>
    <row r="23" spans="1:15" x14ac:dyDescent="0.25">
      <c r="G23" t="s">
        <v>2325</v>
      </c>
      <c r="H23" s="30">
        <v>461925</v>
      </c>
      <c r="I23" t="s">
        <v>2319</v>
      </c>
      <c r="J23" s="30">
        <v>24500</v>
      </c>
      <c r="L23" t="s">
        <v>51</v>
      </c>
      <c r="M23" t="s">
        <v>2390</v>
      </c>
      <c r="N23" t="s">
        <v>2398</v>
      </c>
      <c r="O23" s="209">
        <v>44196</v>
      </c>
    </row>
    <row r="24" spans="1:15" x14ac:dyDescent="0.25">
      <c r="G24" t="s">
        <v>2326</v>
      </c>
      <c r="H24" s="30">
        <v>456900</v>
      </c>
      <c r="I24" s="30">
        <v>284275</v>
      </c>
      <c r="J24" s="30">
        <v>26010</v>
      </c>
      <c r="L24" t="s">
        <v>2399</v>
      </c>
      <c r="M24" t="s">
        <v>2390</v>
      </c>
      <c r="N24" t="s">
        <v>2400</v>
      </c>
      <c r="O24" s="209">
        <v>44192</v>
      </c>
    </row>
    <row r="25" spans="1:15" x14ac:dyDescent="0.25">
      <c r="G25" t="s">
        <v>2327</v>
      </c>
      <c r="H25" s="30">
        <v>455900</v>
      </c>
      <c r="I25" s="30">
        <v>231075</v>
      </c>
      <c r="J25" s="30">
        <v>37660</v>
      </c>
      <c r="L25" t="s">
        <v>93</v>
      </c>
      <c r="M25" t="s">
        <v>2390</v>
      </c>
      <c r="N25" t="s">
        <v>2401</v>
      </c>
      <c r="O25" s="209">
        <v>44197</v>
      </c>
    </row>
    <row r="26" spans="1:15" x14ac:dyDescent="0.25">
      <c r="G26" t="s">
        <v>2328</v>
      </c>
      <c r="H26" s="30">
        <v>405825</v>
      </c>
      <c r="I26" s="30">
        <v>208000</v>
      </c>
      <c r="J26" s="30">
        <v>27730</v>
      </c>
      <c r="L26" t="s">
        <v>60</v>
      </c>
      <c r="M26" t="s">
        <v>2390</v>
      </c>
      <c r="N26" t="s">
        <v>2402</v>
      </c>
      <c r="O26" s="209">
        <v>44196</v>
      </c>
    </row>
    <row r="27" spans="1:15" x14ac:dyDescent="0.25">
      <c r="A27" t="s">
        <v>2422</v>
      </c>
      <c r="G27" t="s">
        <v>2329</v>
      </c>
      <c r="H27" s="30">
        <v>385175</v>
      </c>
      <c r="I27" s="30">
        <v>227425</v>
      </c>
      <c r="J27" s="30">
        <v>19943</v>
      </c>
      <c r="L27" t="s">
        <v>19</v>
      </c>
      <c r="M27" t="s">
        <v>2390</v>
      </c>
      <c r="N27" t="s">
        <v>2391</v>
      </c>
      <c r="O27" s="209">
        <v>44195</v>
      </c>
    </row>
    <row r="28" spans="1:15" x14ac:dyDescent="0.25">
      <c r="A28" t="s">
        <v>9</v>
      </c>
      <c r="B28" t="s">
        <v>2424</v>
      </c>
      <c r="G28" t="s">
        <v>2330</v>
      </c>
      <c r="H28" s="30">
        <v>337075</v>
      </c>
      <c r="I28" s="30">
        <v>107250</v>
      </c>
      <c r="J28" s="30">
        <v>30000</v>
      </c>
      <c r="L28" t="s">
        <v>23</v>
      </c>
      <c r="M28" t="s">
        <v>2390</v>
      </c>
      <c r="N28" t="s">
        <v>2403</v>
      </c>
      <c r="O28" s="209">
        <v>44196</v>
      </c>
    </row>
    <row r="29" spans="1:15" x14ac:dyDescent="0.25">
      <c r="A29" s="6" t="s">
        <v>61</v>
      </c>
      <c r="B29" s="6">
        <v>11.55</v>
      </c>
      <c r="G29" t="s">
        <v>2331</v>
      </c>
      <c r="H29" s="30">
        <v>320975</v>
      </c>
      <c r="I29" s="30">
        <v>59639</v>
      </c>
      <c r="J29" s="30">
        <v>34953</v>
      </c>
      <c r="L29" t="s">
        <v>75</v>
      </c>
      <c r="M29" t="s">
        <v>2390</v>
      </c>
      <c r="N29" t="s">
        <v>2391</v>
      </c>
      <c r="O29" s="209">
        <v>44195</v>
      </c>
    </row>
    <row r="30" spans="1:15" x14ac:dyDescent="0.25">
      <c r="A30" s="6" t="s">
        <v>134</v>
      </c>
      <c r="B30" s="6">
        <v>3.49</v>
      </c>
      <c r="G30" t="s">
        <v>2332</v>
      </c>
      <c r="H30" s="30">
        <v>314750</v>
      </c>
      <c r="I30" s="30">
        <v>58500</v>
      </c>
      <c r="J30" s="30">
        <v>12338</v>
      </c>
      <c r="L30" t="s">
        <v>54</v>
      </c>
      <c r="M30" t="s">
        <v>2390</v>
      </c>
      <c r="N30" t="s">
        <v>2404</v>
      </c>
      <c r="O30" s="209">
        <v>44196</v>
      </c>
    </row>
    <row r="31" spans="1:15" x14ac:dyDescent="0.25">
      <c r="A31" s="6" t="s">
        <v>2415</v>
      </c>
      <c r="B31" s="6">
        <v>1.69</v>
      </c>
      <c r="C31" s="249">
        <v>44557</v>
      </c>
      <c r="G31" t="s">
        <v>2333</v>
      </c>
      <c r="H31" s="30">
        <v>303200</v>
      </c>
      <c r="I31" s="30">
        <v>96000</v>
      </c>
      <c r="J31" s="30">
        <v>24236</v>
      </c>
      <c r="L31" t="s">
        <v>150</v>
      </c>
      <c r="M31" t="s">
        <v>2390</v>
      </c>
      <c r="N31" t="s">
        <v>2405</v>
      </c>
      <c r="O31" s="209">
        <v>44195</v>
      </c>
    </row>
    <row r="32" spans="1:15" ht="30" x14ac:dyDescent="0.25">
      <c r="A32" s="6" t="s">
        <v>2411</v>
      </c>
      <c r="B32" s="6">
        <v>1.64</v>
      </c>
      <c r="C32" s="249">
        <v>44557</v>
      </c>
      <c r="G32" t="s">
        <v>2334</v>
      </c>
      <c r="H32" s="30">
        <v>298750</v>
      </c>
      <c r="I32" s="30">
        <v>94000</v>
      </c>
      <c r="J32" s="30">
        <v>33000</v>
      </c>
      <c r="L32" t="s">
        <v>36</v>
      </c>
      <c r="M32" t="s">
        <v>2390</v>
      </c>
      <c r="N32" t="s">
        <v>2406</v>
      </c>
      <c r="O32" s="209">
        <v>44196</v>
      </c>
    </row>
    <row r="33" spans="1:15" ht="30" x14ac:dyDescent="0.25">
      <c r="A33" s="6" t="s">
        <v>2416</v>
      </c>
      <c r="B33" s="6">
        <v>1.47</v>
      </c>
      <c r="G33" t="s">
        <v>2335</v>
      </c>
      <c r="H33" s="30">
        <v>277225</v>
      </c>
      <c r="I33" s="30">
        <v>51675</v>
      </c>
      <c r="J33" s="30">
        <v>23000</v>
      </c>
      <c r="L33" t="s">
        <v>61</v>
      </c>
      <c r="M33" t="s">
        <v>2390</v>
      </c>
      <c r="N33" t="s">
        <v>2407</v>
      </c>
      <c r="O33" s="209">
        <v>44197</v>
      </c>
    </row>
    <row r="34" spans="1:15" x14ac:dyDescent="0.25">
      <c r="A34" s="6" t="s">
        <v>150</v>
      </c>
      <c r="B34" s="6">
        <v>1.43</v>
      </c>
      <c r="C34" s="249">
        <v>44560</v>
      </c>
      <c r="G34" t="s">
        <v>2336</v>
      </c>
      <c r="H34" s="30">
        <v>273875</v>
      </c>
      <c r="I34" s="30">
        <v>50700</v>
      </c>
      <c r="J34" s="30">
        <v>10497</v>
      </c>
      <c r="L34" t="s">
        <v>18</v>
      </c>
      <c r="M34" t="s">
        <v>2390</v>
      </c>
      <c r="N34" t="s">
        <v>2408</v>
      </c>
      <c r="O34" s="209">
        <v>44197</v>
      </c>
    </row>
    <row r="35" spans="1:15" x14ac:dyDescent="0.25">
      <c r="A35" s="6" t="s">
        <v>2399</v>
      </c>
      <c r="B35" s="6">
        <v>1.4</v>
      </c>
      <c r="C35" s="249">
        <v>44557</v>
      </c>
      <c r="G35" t="s">
        <v>2337</v>
      </c>
      <c r="H35" s="30">
        <v>265575</v>
      </c>
      <c r="I35" s="30">
        <v>49725</v>
      </c>
      <c r="J35" s="30">
        <v>10358</v>
      </c>
      <c r="L35" t="s">
        <v>77</v>
      </c>
      <c r="M35" t="s">
        <v>2390</v>
      </c>
      <c r="N35" t="s">
        <v>2391</v>
      </c>
      <c r="O35" s="209">
        <v>44193</v>
      </c>
    </row>
    <row r="36" spans="1:15" x14ac:dyDescent="0.25">
      <c r="A36" s="6" t="s">
        <v>2420</v>
      </c>
      <c r="B36" s="6">
        <v>1.1200000000000001</v>
      </c>
      <c r="C36" s="249">
        <v>44557</v>
      </c>
      <c r="G36" t="s">
        <v>2338</v>
      </c>
      <c r="H36" s="30">
        <v>251450</v>
      </c>
      <c r="I36" s="30">
        <v>56160</v>
      </c>
      <c r="J36" s="30">
        <v>43749</v>
      </c>
      <c r="L36" t="s">
        <v>124</v>
      </c>
      <c r="M36" t="s">
        <v>2390</v>
      </c>
      <c r="N36" t="s">
        <v>2391</v>
      </c>
      <c r="O36" s="209">
        <v>44194</v>
      </c>
    </row>
    <row r="37" spans="1:15" ht="30" x14ac:dyDescent="0.25">
      <c r="A37" s="6" t="s">
        <v>2417</v>
      </c>
      <c r="B37" s="6">
        <v>0.84</v>
      </c>
      <c r="C37" s="249">
        <v>44560</v>
      </c>
      <c r="G37" t="s">
        <v>2339</v>
      </c>
      <c r="H37" s="30">
        <v>250650</v>
      </c>
      <c r="I37" s="30">
        <v>174750</v>
      </c>
      <c r="J37" s="30">
        <v>2999</v>
      </c>
      <c r="L37" t="s">
        <v>94</v>
      </c>
      <c r="M37" t="s">
        <v>2390</v>
      </c>
      <c r="N37" t="s">
        <v>2391</v>
      </c>
      <c r="O37" s="209">
        <v>44193</v>
      </c>
    </row>
    <row r="38" spans="1:15" x14ac:dyDescent="0.25">
      <c r="A38" s="6" t="s">
        <v>51</v>
      </c>
      <c r="B38" s="6">
        <v>0.51</v>
      </c>
      <c r="C38" s="249">
        <v>44561</v>
      </c>
      <c r="G38" t="s">
        <v>2340</v>
      </c>
      <c r="H38" s="30">
        <v>228425</v>
      </c>
      <c r="I38" s="30">
        <v>42900</v>
      </c>
      <c r="J38" s="30">
        <v>19644</v>
      </c>
      <c r="L38" t="s">
        <v>84</v>
      </c>
      <c r="M38" t="s">
        <v>2390</v>
      </c>
      <c r="N38" t="s">
        <v>2409</v>
      </c>
      <c r="O38" s="209">
        <v>44195</v>
      </c>
    </row>
    <row r="39" spans="1:15" x14ac:dyDescent="0.25">
      <c r="A39" s="6" t="s">
        <v>28</v>
      </c>
      <c r="B39" s="6">
        <v>0.31</v>
      </c>
      <c r="C39" s="249">
        <v>44561</v>
      </c>
      <c r="G39" t="s">
        <v>2341</v>
      </c>
      <c r="H39" s="30">
        <v>221625</v>
      </c>
      <c r="I39" s="30">
        <v>42950</v>
      </c>
      <c r="J39" s="30">
        <v>15286</v>
      </c>
      <c r="L39" t="s">
        <v>24</v>
      </c>
      <c r="M39" t="s">
        <v>2390</v>
      </c>
      <c r="N39" t="s">
        <v>2410</v>
      </c>
      <c r="O39" s="209">
        <v>44195</v>
      </c>
    </row>
    <row r="40" spans="1:15" x14ac:dyDescent="0.25">
      <c r="A40" s="6" t="s">
        <v>26</v>
      </c>
      <c r="B40" s="6">
        <v>0.28999999999999998</v>
      </c>
      <c r="G40" t="s">
        <v>2342</v>
      </c>
      <c r="H40" s="30">
        <v>210350</v>
      </c>
      <c r="I40" s="30">
        <v>118500</v>
      </c>
      <c r="J40" s="30">
        <v>22108</v>
      </c>
      <c r="L40" t="s">
        <v>2411</v>
      </c>
      <c r="M40" t="s">
        <v>2390</v>
      </c>
      <c r="N40" t="s">
        <v>2400</v>
      </c>
      <c r="O40" s="209">
        <v>44192</v>
      </c>
    </row>
    <row r="41" spans="1:15" x14ac:dyDescent="0.25">
      <c r="A41" s="6" t="s">
        <v>23</v>
      </c>
      <c r="B41" s="6">
        <v>0.2</v>
      </c>
      <c r="C41" s="249">
        <v>44561</v>
      </c>
      <c r="G41" t="s">
        <v>2343</v>
      </c>
      <c r="H41" s="30">
        <v>202650</v>
      </c>
      <c r="I41" s="30">
        <v>87625</v>
      </c>
      <c r="J41" s="30">
        <v>11192</v>
      </c>
      <c r="L41" t="s">
        <v>110</v>
      </c>
      <c r="M41" t="s">
        <v>2390</v>
      </c>
      <c r="N41" t="s">
        <v>2391</v>
      </c>
      <c r="O41" s="209">
        <v>44197</v>
      </c>
    </row>
    <row r="42" spans="1:15" x14ac:dyDescent="0.25">
      <c r="A42" s="6" t="s">
        <v>93</v>
      </c>
      <c r="B42" s="6">
        <v>0.19</v>
      </c>
      <c r="G42" t="s">
        <v>2344</v>
      </c>
      <c r="H42" s="30">
        <v>189725</v>
      </c>
      <c r="I42" s="30">
        <v>47200</v>
      </c>
      <c r="J42" s="30">
        <v>10407</v>
      </c>
      <c r="L42" t="s">
        <v>41</v>
      </c>
      <c r="M42" t="s">
        <v>2390</v>
      </c>
      <c r="N42" t="s">
        <v>2391</v>
      </c>
      <c r="O42" s="209">
        <v>44196</v>
      </c>
    </row>
    <row r="43" spans="1:15" x14ac:dyDescent="0.25">
      <c r="A43" s="6" t="s">
        <v>87</v>
      </c>
      <c r="B43" s="6">
        <v>0.19</v>
      </c>
      <c r="C43" s="249">
        <v>44560</v>
      </c>
      <c r="G43" t="s">
        <v>2345</v>
      </c>
      <c r="H43" s="30">
        <v>174900</v>
      </c>
      <c r="I43" s="30">
        <v>33150</v>
      </c>
      <c r="J43" s="30">
        <v>21000</v>
      </c>
      <c r="L43" t="s">
        <v>38</v>
      </c>
      <c r="M43" t="s">
        <v>2390</v>
      </c>
      <c r="N43" t="s">
        <v>2412</v>
      </c>
      <c r="O43" s="209">
        <v>44194</v>
      </c>
    </row>
    <row r="44" spans="1:15" x14ac:dyDescent="0.25">
      <c r="A44" s="6" t="s">
        <v>84</v>
      </c>
      <c r="B44" s="6">
        <v>0.19</v>
      </c>
      <c r="C44" s="249">
        <v>44560</v>
      </c>
      <c r="G44" t="s">
        <v>2346</v>
      </c>
      <c r="H44" s="30">
        <v>167100</v>
      </c>
      <c r="I44" s="30">
        <v>31200</v>
      </c>
      <c r="J44" s="30">
        <v>16487</v>
      </c>
      <c r="L44" t="s">
        <v>39</v>
      </c>
      <c r="M44" t="s">
        <v>2390</v>
      </c>
      <c r="N44" t="s">
        <v>2413</v>
      </c>
      <c r="O44" s="209">
        <v>44197</v>
      </c>
    </row>
    <row r="45" spans="1:15" x14ac:dyDescent="0.25">
      <c r="A45" s="6" t="s">
        <v>38</v>
      </c>
      <c r="B45" s="6">
        <v>0.16</v>
      </c>
      <c r="C45" s="249">
        <v>44559</v>
      </c>
      <c r="G45" t="s">
        <v>2347</v>
      </c>
      <c r="H45" s="30">
        <v>160275</v>
      </c>
      <c r="I45" s="30">
        <v>77725</v>
      </c>
      <c r="J45" s="30">
        <v>28500</v>
      </c>
      <c r="L45" t="s">
        <v>32</v>
      </c>
      <c r="M45" t="s">
        <v>2388</v>
      </c>
      <c r="N45" t="s">
        <v>2414</v>
      </c>
      <c r="O45" s="209">
        <v>44187</v>
      </c>
    </row>
    <row r="46" spans="1:15" x14ac:dyDescent="0.25">
      <c r="A46" s="6" t="s">
        <v>15</v>
      </c>
      <c r="B46" s="6">
        <v>0.13</v>
      </c>
      <c r="G46" t="s">
        <v>2348</v>
      </c>
      <c r="H46" s="30">
        <v>142600</v>
      </c>
      <c r="I46" s="30">
        <v>26000</v>
      </c>
      <c r="J46" s="30">
        <v>8400</v>
      </c>
      <c r="L46" t="s">
        <v>2415</v>
      </c>
      <c r="M46" t="s">
        <v>2390</v>
      </c>
      <c r="N46" t="s">
        <v>2400</v>
      </c>
      <c r="O46" s="209">
        <v>44192</v>
      </c>
    </row>
    <row r="47" spans="1:15" x14ac:dyDescent="0.25">
      <c r="A47" s="6" t="s">
        <v>41</v>
      </c>
      <c r="B47" s="6">
        <v>0.13</v>
      </c>
      <c r="C47" s="249">
        <v>44561</v>
      </c>
      <c r="G47" t="s">
        <v>2349</v>
      </c>
      <c r="H47" s="30">
        <v>136075</v>
      </c>
      <c r="I47" s="30">
        <v>25350</v>
      </c>
      <c r="J47" s="30">
        <v>12969</v>
      </c>
      <c r="L47" t="s">
        <v>2416</v>
      </c>
      <c r="M47" t="s">
        <v>2390</v>
      </c>
      <c r="N47" t="s">
        <v>2400</v>
      </c>
      <c r="O47" s="209">
        <v>44197</v>
      </c>
    </row>
    <row r="48" spans="1:15" x14ac:dyDescent="0.25">
      <c r="A48" s="6" t="s">
        <v>110</v>
      </c>
      <c r="B48" s="6">
        <v>0.13</v>
      </c>
      <c r="G48" t="s">
        <v>2350</v>
      </c>
      <c r="H48" s="30">
        <v>133725</v>
      </c>
      <c r="I48" s="30">
        <v>62600</v>
      </c>
      <c r="J48" s="30">
        <v>4500</v>
      </c>
      <c r="L48" t="s">
        <v>2417</v>
      </c>
      <c r="M48" t="s">
        <v>2419</v>
      </c>
      <c r="N48" t="s">
        <v>2418</v>
      </c>
      <c r="O48" s="209">
        <v>44195</v>
      </c>
    </row>
    <row r="49" spans="1:15" x14ac:dyDescent="0.25">
      <c r="A49" s="6" t="s">
        <v>94</v>
      </c>
      <c r="B49" s="6">
        <v>0.08</v>
      </c>
      <c r="C49" s="249">
        <v>44558</v>
      </c>
      <c r="G49" t="s">
        <v>2351</v>
      </c>
      <c r="H49" s="30">
        <v>133025</v>
      </c>
      <c r="I49" s="30">
        <v>40350</v>
      </c>
      <c r="J49" s="30">
        <v>10000</v>
      </c>
      <c r="L49" t="s">
        <v>2420</v>
      </c>
      <c r="M49" t="s">
        <v>2390</v>
      </c>
      <c r="N49" t="s">
        <v>2400</v>
      </c>
      <c r="O49" s="209">
        <v>44192</v>
      </c>
    </row>
    <row r="50" spans="1:15" x14ac:dyDescent="0.25">
      <c r="A50" s="6" t="s">
        <v>18</v>
      </c>
      <c r="B50" s="6">
        <v>0.08</v>
      </c>
      <c r="G50" t="s">
        <v>2352</v>
      </c>
      <c r="H50" s="30">
        <v>130450</v>
      </c>
      <c r="I50" s="30">
        <v>24000</v>
      </c>
      <c r="J50">
        <v>600</v>
      </c>
    </row>
    <row r="51" spans="1:15" x14ac:dyDescent="0.25">
      <c r="A51" s="6" t="s">
        <v>55</v>
      </c>
      <c r="B51" s="6">
        <v>7.0000000000000007E-2</v>
      </c>
      <c r="C51" s="249">
        <v>44561</v>
      </c>
      <c r="G51" t="s">
        <v>2353</v>
      </c>
      <c r="H51" s="30">
        <v>125825</v>
      </c>
      <c r="I51" s="30">
        <v>68800</v>
      </c>
      <c r="J51" s="30">
        <v>11380</v>
      </c>
    </row>
    <row r="52" spans="1:15" x14ac:dyDescent="0.25">
      <c r="A52" s="6" t="s">
        <v>81</v>
      </c>
      <c r="B52" s="6">
        <v>7.0000000000000007E-2</v>
      </c>
      <c r="G52" t="s">
        <v>2354</v>
      </c>
      <c r="H52" s="30">
        <v>95400</v>
      </c>
      <c r="I52" s="30">
        <v>17550</v>
      </c>
      <c r="J52" s="30">
        <v>14000</v>
      </c>
    </row>
    <row r="53" spans="1:15" x14ac:dyDescent="0.25">
      <c r="A53" s="6" t="s">
        <v>49</v>
      </c>
      <c r="B53" s="6">
        <v>7.0000000000000007E-2</v>
      </c>
      <c r="C53" s="249">
        <v>44560</v>
      </c>
      <c r="G53" t="s">
        <v>2355</v>
      </c>
      <c r="H53" s="30">
        <v>86800</v>
      </c>
      <c r="I53" s="30">
        <v>60875</v>
      </c>
      <c r="J53" s="30">
        <v>18488</v>
      </c>
    </row>
    <row r="54" spans="1:15" x14ac:dyDescent="0.25">
      <c r="A54" s="6" t="s">
        <v>39</v>
      </c>
      <c r="B54" s="6">
        <v>0.06</v>
      </c>
      <c r="G54" t="s">
        <v>2356</v>
      </c>
      <c r="H54" s="30">
        <v>86500</v>
      </c>
      <c r="I54" s="30">
        <v>15600</v>
      </c>
      <c r="J54" s="30">
        <v>15462</v>
      </c>
    </row>
    <row r="55" spans="1:15" x14ac:dyDescent="0.25">
      <c r="A55" s="6" t="s">
        <v>77</v>
      </c>
      <c r="B55" s="6">
        <v>0.06</v>
      </c>
      <c r="C55" s="249">
        <v>44558</v>
      </c>
      <c r="G55" t="s">
        <v>2357</v>
      </c>
      <c r="H55" s="30">
        <v>73775</v>
      </c>
      <c r="I55" s="30">
        <v>51400</v>
      </c>
      <c r="J55" s="30">
        <v>6538</v>
      </c>
    </row>
    <row r="56" spans="1:15" x14ac:dyDescent="0.25">
      <c r="A56" s="6" t="s">
        <v>44</v>
      </c>
      <c r="B56" s="6">
        <v>0.05</v>
      </c>
      <c r="C56" s="249">
        <v>44557</v>
      </c>
      <c r="G56" t="s">
        <v>2358</v>
      </c>
      <c r="H56" s="30">
        <v>66850</v>
      </c>
      <c r="I56" s="30">
        <v>33450</v>
      </c>
      <c r="J56">
        <v>5</v>
      </c>
    </row>
    <row r="57" spans="1:15" x14ac:dyDescent="0.25">
      <c r="A57" s="6" t="s">
        <v>54</v>
      </c>
      <c r="B57" s="6">
        <v>0.05</v>
      </c>
      <c r="C57" s="249">
        <v>44561</v>
      </c>
      <c r="G57" t="s">
        <v>2359</v>
      </c>
      <c r="H57" s="30">
        <v>64775</v>
      </c>
      <c r="I57" s="30">
        <v>8001</v>
      </c>
      <c r="J57" s="30">
        <v>8001</v>
      </c>
    </row>
    <row r="58" spans="1:15" x14ac:dyDescent="0.25">
      <c r="A58" s="6" t="s">
        <v>32</v>
      </c>
      <c r="B58" s="6">
        <v>0.04</v>
      </c>
      <c r="C58" s="249">
        <v>44552</v>
      </c>
      <c r="G58" t="s">
        <v>2360</v>
      </c>
      <c r="H58" s="30">
        <v>64775</v>
      </c>
      <c r="I58" s="30">
        <v>45650</v>
      </c>
      <c r="J58" s="30">
        <v>3819</v>
      </c>
    </row>
    <row r="59" spans="1:15" x14ac:dyDescent="0.25">
      <c r="A59" s="6" t="s">
        <v>36</v>
      </c>
      <c r="B59" s="6">
        <v>0.04</v>
      </c>
      <c r="C59" s="249">
        <v>44561</v>
      </c>
      <c r="G59" t="s">
        <v>2361</v>
      </c>
      <c r="H59" s="30">
        <v>61900</v>
      </c>
      <c r="I59" s="30">
        <v>61100</v>
      </c>
      <c r="J59" s="30">
        <v>8918</v>
      </c>
    </row>
    <row r="60" spans="1:15" x14ac:dyDescent="0.25">
      <c r="A60" s="6" t="s">
        <v>124</v>
      </c>
      <c r="B60" s="6">
        <v>0.03</v>
      </c>
      <c r="C60" s="249">
        <v>44559</v>
      </c>
      <c r="G60" t="s">
        <v>2362</v>
      </c>
      <c r="H60" s="30">
        <v>50950</v>
      </c>
      <c r="I60" s="30">
        <v>9750</v>
      </c>
      <c r="J60" s="30">
        <v>7072</v>
      </c>
    </row>
    <row r="61" spans="1:15" x14ac:dyDescent="0.25">
      <c r="A61" s="6" t="s">
        <v>60</v>
      </c>
      <c r="B61" s="6">
        <v>0.03</v>
      </c>
      <c r="C61" s="249">
        <v>44561</v>
      </c>
      <c r="G61" t="s">
        <v>2363</v>
      </c>
      <c r="H61" s="30">
        <v>50050</v>
      </c>
      <c r="I61" t="s">
        <v>2319</v>
      </c>
      <c r="J61" s="30">
        <v>7407</v>
      </c>
    </row>
    <row r="62" spans="1:15" x14ac:dyDescent="0.25">
      <c r="A62" s="6" t="s">
        <v>24</v>
      </c>
      <c r="B62" s="6">
        <v>0.02</v>
      </c>
      <c r="C62" s="249">
        <v>44560</v>
      </c>
      <c r="G62" t="s">
        <v>2364</v>
      </c>
      <c r="H62" s="30">
        <v>44925</v>
      </c>
      <c r="I62" s="30">
        <v>8775</v>
      </c>
      <c r="J62" s="30">
        <v>3872</v>
      </c>
    </row>
    <row r="63" spans="1:15" x14ac:dyDescent="0.25">
      <c r="A63" s="6" t="s">
        <v>75</v>
      </c>
      <c r="B63" s="6">
        <v>0.02</v>
      </c>
      <c r="C63" s="249">
        <v>44560</v>
      </c>
      <c r="G63" t="s">
        <v>2365</v>
      </c>
      <c r="H63" s="30">
        <v>40175</v>
      </c>
      <c r="I63" s="30">
        <v>22400</v>
      </c>
      <c r="J63" s="30">
        <v>8398</v>
      </c>
    </row>
    <row r="64" spans="1:15" x14ac:dyDescent="0.25">
      <c r="A64" s="6" t="s">
        <v>152</v>
      </c>
      <c r="B64" s="6">
        <v>0</v>
      </c>
      <c r="C64" s="249">
        <v>44554</v>
      </c>
      <c r="G64" t="s">
        <v>2366</v>
      </c>
      <c r="H64" s="30">
        <v>35350</v>
      </c>
      <c r="I64" s="30">
        <v>21244</v>
      </c>
      <c r="J64" s="30">
        <v>11903</v>
      </c>
    </row>
    <row r="65" spans="1:10" x14ac:dyDescent="0.25">
      <c r="A65" s="6" t="s">
        <v>19</v>
      </c>
      <c r="B65" s="6">
        <v>0</v>
      </c>
      <c r="C65" s="249">
        <v>44560</v>
      </c>
      <c r="G65" t="s">
        <v>2367</v>
      </c>
      <c r="H65" s="30">
        <v>34550</v>
      </c>
      <c r="I65" s="30">
        <v>6825</v>
      </c>
      <c r="J65" s="30">
        <v>4500</v>
      </c>
    </row>
    <row r="66" spans="1:10" x14ac:dyDescent="0.25">
      <c r="G66" t="s">
        <v>2368</v>
      </c>
      <c r="H66" s="30">
        <v>31975</v>
      </c>
      <c r="I66" s="30">
        <v>17200</v>
      </c>
      <c r="J66" s="30">
        <v>4374</v>
      </c>
    </row>
    <row r="67" spans="1:10" x14ac:dyDescent="0.25">
      <c r="G67" t="s">
        <v>2369</v>
      </c>
      <c r="H67" s="30">
        <v>27150</v>
      </c>
      <c r="I67" s="30">
        <v>4975</v>
      </c>
      <c r="J67" s="30">
        <v>2352</v>
      </c>
    </row>
    <row r="68" spans="1:10" x14ac:dyDescent="0.25">
      <c r="G68" t="s">
        <v>2370</v>
      </c>
      <c r="H68" s="30">
        <v>19300</v>
      </c>
      <c r="I68" s="30">
        <v>11700</v>
      </c>
      <c r="J68" s="30">
        <v>1931</v>
      </c>
    </row>
    <row r="69" spans="1:10" x14ac:dyDescent="0.25">
      <c r="G69" t="s">
        <v>2371</v>
      </c>
      <c r="H69" s="30">
        <v>8450</v>
      </c>
      <c r="I69" t="s">
        <v>2319</v>
      </c>
      <c r="J69" t="s">
        <v>2319</v>
      </c>
    </row>
    <row r="70" spans="1:10" x14ac:dyDescent="0.25">
      <c r="G70" t="s">
        <v>2372</v>
      </c>
      <c r="H70" s="30">
        <v>8250</v>
      </c>
      <c r="I70" s="30">
        <v>5850</v>
      </c>
      <c r="J70">
        <v>139</v>
      </c>
    </row>
    <row r="71" spans="1:10" x14ac:dyDescent="0.25">
      <c r="G71" t="s">
        <v>2373</v>
      </c>
      <c r="H71" s="30">
        <v>5525</v>
      </c>
      <c r="I71">
        <v>975</v>
      </c>
      <c r="J71">
        <v>260</v>
      </c>
    </row>
    <row r="72" spans="1:10" x14ac:dyDescent="0.25">
      <c r="H72" s="30">
        <f>SUM(H12:H71)</f>
        <v>15713175</v>
      </c>
      <c r="I72" s="30">
        <f t="shared" ref="I72:J72" si="0">SUM(I12:I71)</f>
        <v>5060699</v>
      </c>
      <c r="J72" s="30">
        <f t="shared" si="0"/>
        <v>1161600</v>
      </c>
    </row>
    <row r="73" spans="1:10" x14ac:dyDescent="0.25">
      <c r="G73" t="s">
        <v>2374</v>
      </c>
    </row>
  </sheetData>
  <autoFilter ref="L13:M49" xr:uid="{96E4C9FE-427D-41DE-B9F3-1352A3B863C9}"/>
  <sortState xmlns:xlrd2="http://schemas.microsoft.com/office/spreadsheetml/2017/richdata2" ref="A29:C91">
    <sortCondition descending="1" ref="B29:B91"/>
  </sortState>
  <pageMargins left="0.7" right="0.7" top="0.75" bottom="0.75" header="0.3" footer="0.3"/>
  <pageSetup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8F648-A188-4AA1-846C-9DA23B64D372}">
  <dimension ref="A1:AA245"/>
  <sheetViews>
    <sheetView workbookViewId="0"/>
  </sheetViews>
  <sheetFormatPr defaultRowHeight="15" x14ac:dyDescent="0.25"/>
  <cols>
    <col min="1" max="1" width="21.140625" customWidth="1"/>
    <col min="2" max="2" width="16.42578125" style="33" bestFit="1" customWidth="1"/>
    <col min="3" max="3" width="10.42578125" bestFit="1" customWidth="1"/>
    <col min="4" max="4" width="15.140625" style="33" bestFit="1" customWidth="1"/>
    <col min="5" max="6" width="7" bestFit="1" customWidth="1"/>
    <col min="7" max="8" width="7.5703125" bestFit="1" customWidth="1"/>
    <col min="9" max="9" width="10.5703125" customWidth="1"/>
    <col min="10" max="10" width="4.85546875" bestFit="1" customWidth="1"/>
    <col min="11" max="11" width="6.140625" bestFit="1" customWidth="1"/>
    <col min="12" max="12" width="9.42578125" customWidth="1"/>
    <col min="13" max="13" width="7.85546875" bestFit="1" customWidth="1"/>
    <col min="14" max="14" width="6.28515625" bestFit="1" customWidth="1"/>
    <col min="15" max="15" width="9.5703125" customWidth="1"/>
    <col min="16" max="16" width="7.5703125" bestFit="1" customWidth="1"/>
    <col min="18" max="18" width="24.85546875" customWidth="1"/>
    <col min="19" max="19" width="11.42578125" bestFit="1" customWidth="1"/>
    <col min="20" max="20" width="23.28515625" customWidth="1"/>
    <col min="21" max="21" width="11.42578125" bestFit="1" customWidth="1"/>
  </cols>
  <sheetData>
    <row r="1" spans="1:23" x14ac:dyDescent="0.25">
      <c r="B1"/>
      <c r="D1"/>
    </row>
    <row r="2" spans="1:23" x14ac:dyDescent="0.25">
      <c r="A2" s="28" t="s">
        <v>1912</v>
      </c>
      <c r="B2"/>
      <c r="D2"/>
      <c r="R2" s="28" t="s">
        <v>1926</v>
      </c>
    </row>
    <row r="3" spans="1:23" x14ac:dyDescent="0.25">
      <c r="A3" s="28"/>
      <c r="B3"/>
      <c r="D3"/>
    </row>
    <row r="4" spans="1:23" ht="45" x14ac:dyDescent="0.25">
      <c r="A4" s="28" t="s">
        <v>1913</v>
      </c>
      <c r="B4" s="32" t="s">
        <v>1918</v>
      </c>
      <c r="C4" s="32" t="s">
        <v>1919</v>
      </c>
      <c r="D4" s="32"/>
      <c r="E4" s="32"/>
      <c r="F4" s="32"/>
      <c r="G4" s="173" t="s">
        <v>1946</v>
      </c>
      <c r="H4" s="32"/>
      <c r="I4" s="173" t="s">
        <v>1934</v>
      </c>
      <c r="J4" s="32" t="s">
        <v>1386</v>
      </c>
      <c r="K4" s="32"/>
      <c r="L4" s="42" t="s">
        <v>1948</v>
      </c>
      <c r="M4" s="32"/>
      <c r="N4" s="32"/>
      <c r="O4" s="32"/>
      <c r="P4" s="32" t="s">
        <v>1942</v>
      </c>
      <c r="R4" t="s">
        <v>1897</v>
      </c>
      <c r="S4" s="33"/>
      <c r="U4" s="33"/>
    </row>
    <row r="5" spans="1:23" x14ac:dyDescent="0.25">
      <c r="A5" t="s">
        <v>1914</v>
      </c>
      <c r="B5">
        <v>2</v>
      </c>
      <c r="C5" s="172" t="s">
        <v>1923</v>
      </c>
      <c r="D5"/>
      <c r="G5">
        <v>33</v>
      </c>
      <c r="I5">
        <f t="shared" ref="I5:I8" si="0">130*B5</f>
        <v>260</v>
      </c>
      <c r="J5">
        <v>13</v>
      </c>
      <c r="L5" s="174">
        <v>47</v>
      </c>
      <c r="P5" s="175">
        <f>L5*B5</f>
        <v>94</v>
      </c>
      <c r="S5" s="33"/>
      <c r="U5" s="33"/>
    </row>
    <row r="6" spans="1:23" x14ac:dyDescent="0.25">
      <c r="A6" t="s">
        <v>562</v>
      </c>
      <c r="B6">
        <v>1</v>
      </c>
      <c r="C6" s="172" t="s">
        <v>1923</v>
      </c>
      <c r="D6"/>
      <c r="G6">
        <v>33</v>
      </c>
      <c r="I6">
        <f t="shared" si="0"/>
        <v>130</v>
      </c>
      <c r="J6">
        <v>13</v>
      </c>
      <c r="L6" s="174">
        <v>47</v>
      </c>
      <c r="P6" s="175">
        <f t="shared" ref="P6:P14" si="1">L6*B6</f>
        <v>47</v>
      </c>
      <c r="R6" s="1" t="s">
        <v>1833</v>
      </c>
      <c r="S6" s="4" t="s">
        <v>1881</v>
      </c>
      <c r="T6" s="1" t="s">
        <v>1833</v>
      </c>
      <c r="U6" s="4" t="s">
        <v>1881</v>
      </c>
      <c r="W6" t="s">
        <v>1831</v>
      </c>
    </row>
    <row r="7" spans="1:23" x14ac:dyDescent="0.25">
      <c r="A7" t="s">
        <v>570</v>
      </c>
      <c r="B7">
        <v>1</v>
      </c>
      <c r="C7" s="172" t="s">
        <v>1923</v>
      </c>
      <c r="D7"/>
      <c r="G7">
        <v>33</v>
      </c>
      <c r="I7">
        <f t="shared" si="0"/>
        <v>130</v>
      </c>
      <c r="J7">
        <v>13</v>
      </c>
      <c r="L7" s="174">
        <v>47</v>
      </c>
      <c r="P7" s="175">
        <f t="shared" si="1"/>
        <v>47</v>
      </c>
      <c r="R7" s="1"/>
      <c r="S7" s="4"/>
      <c r="T7" s="1"/>
      <c r="U7" s="4"/>
      <c r="W7" t="s">
        <v>1832</v>
      </c>
    </row>
    <row r="8" spans="1:23" x14ac:dyDescent="0.25">
      <c r="A8" t="s">
        <v>1916</v>
      </c>
      <c r="B8">
        <v>2</v>
      </c>
      <c r="C8" s="172" t="s">
        <v>1923</v>
      </c>
      <c r="D8"/>
      <c r="G8">
        <v>33</v>
      </c>
      <c r="I8">
        <f t="shared" si="0"/>
        <v>260</v>
      </c>
      <c r="J8">
        <v>13</v>
      </c>
      <c r="L8" s="174">
        <v>47</v>
      </c>
      <c r="P8" s="175">
        <f t="shared" si="1"/>
        <v>94</v>
      </c>
      <c r="R8" s="1" t="s">
        <v>1838</v>
      </c>
      <c r="S8" s="4"/>
      <c r="T8" s="1"/>
      <c r="U8" s="4"/>
      <c r="W8" t="s">
        <v>2028</v>
      </c>
    </row>
    <row r="9" spans="1:23" x14ac:dyDescent="0.25">
      <c r="A9" t="s">
        <v>1915</v>
      </c>
      <c r="B9">
        <v>1</v>
      </c>
      <c r="C9" s="172" t="s">
        <v>1923</v>
      </c>
      <c r="D9"/>
      <c r="G9">
        <v>33</v>
      </c>
      <c r="I9">
        <f>130*B9</f>
        <v>130</v>
      </c>
      <c r="J9">
        <v>13</v>
      </c>
      <c r="L9" s="174">
        <v>47</v>
      </c>
      <c r="P9" s="175">
        <f t="shared" si="1"/>
        <v>47</v>
      </c>
      <c r="R9" s="1"/>
      <c r="S9" s="4"/>
      <c r="T9" s="1"/>
      <c r="U9" s="4"/>
      <c r="W9" t="s">
        <v>1875</v>
      </c>
    </row>
    <row r="10" spans="1:23" x14ac:dyDescent="0.25">
      <c r="A10" t="s">
        <v>1915</v>
      </c>
      <c r="B10">
        <v>1</v>
      </c>
      <c r="C10" s="172" t="s">
        <v>1923</v>
      </c>
      <c r="D10"/>
      <c r="G10">
        <v>33</v>
      </c>
      <c r="I10">
        <f t="shared" ref="I10:I12" si="2">130*B10</f>
        <v>130</v>
      </c>
      <c r="J10">
        <v>13</v>
      </c>
      <c r="L10" s="174">
        <v>47</v>
      </c>
      <c r="P10" s="175">
        <f t="shared" si="1"/>
        <v>47</v>
      </c>
      <c r="R10" s="1" t="s">
        <v>1882</v>
      </c>
      <c r="S10" s="170">
        <v>0.3</v>
      </c>
      <c r="T10" s="1" t="s">
        <v>1883</v>
      </c>
      <c r="U10" s="170">
        <v>0.41</v>
      </c>
      <c r="W10" t="s">
        <v>1910</v>
      </c>
    </row>
    <row r="11" spans="1:23" x14ac:dyDescent="0.25">
      <c r="A11" t="s">
        <v>1915</v>
      </c>
      <c r="B11">
        <v>1</v>
      </c>
      <c r="C11" s="172" t="s">
        <v>1923</v>
      </c>
      <c r="D11"/>
      <c r="G11">
        <v>33</v>
      </c>
      <c r="I11">
        <f t="shared" si="2"/>
        <v>130</v>
      </c>
      <c r="J11">
        <v>13</v>
      </c>
      <c r="L11" s="174">
        <v>47</v>
      </c>
      <c r="P11" s="175">
        <f t="shared" si="1"/>
        <v>47</v>
      </c>
      <c r="R11" s="1" t="s">
        <v>1884</v>
      </c>
      <c r="S11" s="170">
        <v>0.25</v>
      </c>
      <c r="T11" s="1" t="s">
        <v>1834</v>
      </c>
      <c r="U11" s="170">
        <v>0.64</v>
      </c>
      <c r="W11" t="s">
        <v>1876</v>
      </c>
    </row>
    <row r="12" spans="1:23" x14ac:dyDescent="0.25">
      <c r="A12" t="s">
        <v>1915</v>
      </c>
      <c r="B12">
        <v>1</v>
      </c>
      <c r="C12" s="172" t="s">
        <v>1923</v>
      </c>
      <c r="D12"/>
      <c r="G12">
        <v>33</v>
      </c>
      <c r="I12">
        <f t="shared" si="2"/>
        <v>130</v>
      </c>
      <c r="J12">
        <v>13</v>
      </c>
      <c r="L12" s="174">
        <v>47</v>
      </c>
      <c r="P12" s="175">
        <f t="shared" si="1"/>
        <v>47</v>
      </c>
      <c r="R12" s="1" t="s">
        <v>1885</v>
      </c>
      <c r="S12" s="170">
        <v>0.8</v>
      </c>
      <c r="T12" s="1" t="s">
        <v>1835</v>
      </c>
      <c r="U12" s="170">
        <v>0.37</v>
      </c>
      <c r="W12" t="s">
        <v>1877</v>
      </c>
    </row>
    <row r="13" spans="1:23" x14ac:dyDescent="0.25">
      <c r="A13" t="s">
        <v>411</v>
      </c>
      <c r="B13">
        <v>1</v>
      </c>
      <c r="C13" s="172" t="s">
        <v>1922</v>
      </c>
      <c r="D13"/>
      <c r="G13">
        <v>14</v>
      </c>
      <c r="I13">
        <v>54</v>
      </c>
      <c r="J13">
        <v>5.7</v>
      </c>
      <c r="L13" s="174">
        <v>47</v>
      </c>
      <c r="P13" s="175">
        <f t="shared" si="1"/>
        <v>47</v>
      </c>
      <c r="R13" s="1" t="s">
        <v>1836</v>
      </c>
      <c r="S13" s="170">
        <v>0.33</v>
      </c>
      <c r="T13" s="1" t="s">
        <v>1837</v>
      </c>
      <c r="U13" s="170">
        <v>0.51</v>
      </c>
      <c r="W13" t="s">
        <v>1878</v>
      </c>
    </row>
    <row r="14" spans="1:23" x14ac:dyDescent="0.25">
      <c r="A14" t="s">
        <v>411</v>
      </c>
      <c r="B14">
        <v>1</v>
      </c>
      <c r="C14" s="172" t="s">
        <v>1922</v>
      </c>
      <c r="D14"/>
      <c r="G14">
        <v>14</v>
      </c>
      <c r="I14">
        <v>54</v>
      </c>
      <c r="J14">
        <v>5.7</v>
      </c>
      <c r="L14" s="174">
        <v>47</v>
      </c>
      <c r="P14" s="175">
        <f t="shared" si="1"/>
        <v>47</v>
      </c>
      <c r="R14" s="1" t="s">
        <v>1839</v>
      </c>
      <c r="S14" s="170">
        <v>0.15</v>
      </c>
      <c r="T14" s="1" t="s">
        <v>1840</v>
      </c>
      <c r="U14" s="170">
        <v>0.41</v>
      </c>
      <c r="W14" t="s">
        <v>1879</v>
      </c>
    </row>
    <row r="15" spans="1:23" x14ac:dyDescent="0.25">
      <c r="A15" t="s">
        <v>1917</v>
      </c>
      <c r="B15">
        <v>1</v>
      </c>
      <c r="C15" s="172" t="s">
        <v>1922</v>
      </c>
      <c r="D15"/>
      <c r="G15">
        <v>14</v>
      </c>
      <c r="I15">
        <v>54</v>
      </c>
      <c r="J15">
        <v>5.7</v>
      </c>
      <c r="L15" s="174">
        <v>47</v>
      </c>
      <c r="P15" s="175">
        <f t="shared" ref="P15" si="3">L15*B15</f>
        <v>47</v>
      </c>
      <c r="R15" s="1" t="s">
        <v>1886</v>
      </c>
      <c r="S15" s="170">
        <v>0.36</v>
      </c>
      <c r="T15" s="1" t="s">
        <v>1945</v>
      </c>
      <c r="U15" s="170">
        <v>0.53</v>
      </c>
      <c r="W15" t="s">
        <v>1880</v>
      </c>
    </row>
    <row r="16" spans="1:23" ht="15.75" thickBot="1" x14ac:dyDescent="0.3">
      <c r="A16" t="s">
        <v>1965</v>
      </c>
      <c r="B16">
        <v>1</v>
      </c>
      <c r="C16" s="172"/>
      <c r="D16"/>
      <c r="L16" s="174">
        <v>200</v>
      </c>
      <c r="O16" s="176"/>
      <c r="P16" s="177">
        <f>B16*L16</f>
        <v>200</v>
      </c>
      <c r="R16" s="1" t="s">
        <v>1841</v>
      </c>
      <c r="S16" s="170">
        <v>0.2</v>
      </c>
      <c r="T16" s="1" t="s">
        <v>1842</v>
      </c>
      <c r="U16" s="170">
        <v>0.28000000000000003</v>
      </c>
    </row>
    <row r="17" spans="1:27" x14ac:dyDescent="0.25">
      <c r="A17" t="s">
        <v>1964</v>
      </c>
      <c r="B17"/>
      <c r="D17"/>
      <c r="O17" t="s">
        <v>1942</v>
      </c>
      <c r="P17" s="175">
        <f>SUM(P5:P16)</f>
        <v>811</v>
      </c>
      <c r="R17" s="1" t="s">
        <v>1843</v>
      </c>
      <c r="S17" s="170">
        <v>0.2</v>
      </c>
      <c r="T17" s="1" t="s">
        <v>1844</v>
      </c>
      <c r="U17" s="170">
        <v>1.23</v>
      </c>
      <c r="W17" s="28" t="s">
        <v>1904</v>
      </c>
      <c r="X17" s="28" t="s">
        <v>1903</v>
      </c>
      <c r="Y17" s="28" t="s">
        <v>861</v>
      </c>
      <c r="Z17" s="28" t="s">
        <v>1905</v>
      </c>
      <c r="AA17" s="28" t="s">
        <v>388</v>
      </c>
    </row>
    <row r="18" spans="1:27" x14ac:dyDescent="0.25">
      <c r="A18" t="s">
        <v>1936</v>
      </c>
      <c r="B18"/>
      <c r="D18"/>
      <c r="R18" s="1" t="s">
        <v>1845</v>
      </c>
      <c r="S18" s="170" t="s">
        <v>1846</v>
      </c>
      <c r="T18" s="1" t="s">
        <v>1847</v>
      </c>
      <c r="U18" s="170">
        <v>0.45</v>
      </c>
      <c r="W18" s="28">
        <v>1</v>
      </c>
      <c r="X18" s="28">
        <v>30000</v>
      </c>
      <c r="Y18">
        <f>3600/W18</f>
        <v>3600</v>
      </c>
      <c r="Z18">
        <f>W18/3600</f>
        <v>2.7777777777777778E-4</v>
      </c>
    </row>
    <row r="19" spans="1:27" x14ac:dyDescent="0.25">
      <c r="A19" t="s">
        <v>1920</v>
      </c>
      <c r="B19"/>
      <c r="D19"/>
      <c r="R19" s="1"/>
      <c r="S19" s="4"/>
      <c r="T19" s="1"/>
      <c r="U19" s="4"/>
      <c r="W19">
        <v>60</v>
      </c>
      <c r="X19" s="31">
        <f>X$18/W19</f>
        <v>500</v>
      </c>
      <c r="Y19">
        <f t="shared" ref="Y19:Y20" si="4">3600/W19</f>
        <v>60</v>
      </c>
      <c r="Z19">
        <f t="shared" ref="Z19:Z20" si="5">W19/3600</f>
        <v>1.6666666666666666E-2</v>
      </c>
    </row>
    <row r="20" spans="1:27" x14ac:dyDescent="0.25">
      <c r="B20"/>
      <c r="D20"/>
      <c r="R20" s="1" t="s">
        <v>1852</v>
      </c>
      <c r="S20" s="4"/>
      <c r="T20" s="1"/>
      <c r="U20" s="4"/>
      <c r="W20">
        <v>600</v>
      </c>
      <c r="X20" s="31">
        <f>X$18/W20</f>
        <v>50</v>
      </c>
      <c r="Y20">
        <f t="shared" si="4"/>
        <v>6</v>
      </c>
      <c r="Z20">
        <f t="shared" si="5"/>
        <v>0.16666666666666666</v>
      </c>
    </row>
    <row r="21" spans="1:27" x14ac:dyDescent="0.25">
      <c r="A21" s="28" t="s">
        <v>868</v>
      </c>
      <c r="B21" s="32" t="s">
        <v>1918</v>
      </c>
      <c r="C21" s="32" t="s">
        <v>1919</v>
      </c>
      <c r="D21" s="32"/>
      <c r="E21" s="32"/>
      <c r="F21" s="32"/>
      <c r="G21" s="15" t="s">
        <v>1992</v>
      </c>
      <c r="H21" s="32"/>
      <c r="I21" s="173" t="s">
        <v>1966</v>
      </c>
      <c r="J21" s="32" t="s">
        <v>1386</v>
      </c>
      <c r="K21" s="32"/>
      <c r="L21" s="42" t="s">
        <v>1967</v>
      </c>
      <c r="M21" s="32"/>
      <c r="N21" s="32"/>
      <c r="O21" s="32"/>
      <c r="P21" s="32" t="s">
        <v>1942</v>
      </c>
      <c r="R21" s="1"/>
      <c r="S21" s="4"/>
      <c r="T21" s="1"/>
      <c r="U21" s="4"/>
      <c r="W21" s="93">
        <v>900</v>
      </c>
      <c r="X21" s="90">
        <f>X$18/W21</f>
        <v>33.333333333333336</v>
      </c>
      <c r="Y21" s="93">
        <f t="shared" ref="Y21:Y23" si="6">3600/W21</f>
        <v>4</v>
      </c>
      <c r="Z21" s="93">
        <f>W21/3600</f>
        <v>0.25</v>
      </c>
      <c r="AA21" s="93" t="s">
        <v>1909</v>
      </c>
    </row>
    <row r="22" spans="1:27" x14ac:dyDescent="0.25">
      <c r="A22" t="s">
        <v>1949</v>
      </c>
      <c r="B22">
        <v>4</v>
      </c>
      <c r="C22" s="172" t="s">
        <v>1923</v>
      </c>
      <c r="D22"/>
      <c r="G22">
        <v>33</v>
      </c>
      <c r="I22">
        <f t="shared" ref="I22:I31" si="7">130*B22</f>
        <v>520</v>
      </c>
      <c r="J22">
        <v>13</v>
      </c>
      <c r="L22" s="174">
        <v>47</v>
      </c>
      <c r="P22" s="175">
        <f t="shared" ref="P22:P31" si="8">L22*B22</f>
        <v>188</v>
      </c>
      <c r="R22" s="1" t="s">
        <v>1848</v>
      </c>
      <c r="S22" s="170">
        <v>0.1</v>
      </c>
      <c r="T22" s="1" t="s">
        <v>1849</v>
      </c>
      <c r="U22" s="170">
        <v>0.23</v>
      </c>
      <c r="W22">
        <v>1800</v>
      </c>
      <c r="X22" s="31">
        <f>X$18/W22</f>
        <v>16.666666666666668</v>
      </c>
      <c r="Y22">
        <f t="shared" si="6"/>
        <v>2</v>
      </c>
      <c r="Z22">
        <f>W22/3600</f>
        <v>0.5</v>
      </c>
    </row>
    <row r="23" spans="1:27" x14ac:dyDescent="0.25">
      <c r="A23" t="s">
        <v>1950</v>
      </c>
      <c r="B23">
        <v>2</v>
      </c>
      <c r="C23" s="172" t="s">
        <v>1923</v>
      </c>
      <c r="D23"/>
      <c r="G23">
        <v>33</v>
      </c>
      <c r="I23">
        <f t="shared" si="7"/>
        <v>260</v>
      </c>
      <c r="J23">
        <v>13</v>
      </c>
      <c r="L23" s="174">
        <v>47</v>
      </c>
      <c r="P23" s="175">
        <f t="shared" si="8"/>
        <v>94</v>
      </c>
      <c r="R23" s="1" t="s">
        <v>1850</v>
      </c>
      <c r="S23" s="170">
        <v>0.2</v>
      </c>
      <c r="T23" s="1" t="s">
        <v>1851</v>
      </c>
      <c r="U23" s="170">
        <v>0.8</v>
      </c>
      <c r="W23">
        <v>3600</v>
      </c>
      <c r="X23" s="31">
        <f>X$18/W23</f>
        <v>8.3333333333333339</v>
      </c>
      <c r="Y23">
        <f t="shared" si="6"/>
        <v>1</v>
      </c>
      <c r="Z23">
        <f>W23/3600</f>
        <v>1</v>
      </c>
    </row>
    <row r="24" spans="1:27" x14ac:dyDescent="0.25">
      <c r="A24" t="s">
        <v>1951</v>
      </c>
      <c r="B24">
        <v>2</v>
      </c>
      <c r="C24" s="172" t="s">
        <v>1923</v>
      </c>
      <c r="D24"/>
      <c r="G24">
        <v>33</v>
      </c>
      <c r="I24">
        <f t="shared" si="7"/>
        <v>260</v>
      </c>
      <c r="J24">
        <v>13</v>
      </c>
      <c r="L24" s="174">
        <v>47</v>
      </c>
      <c r="P24" s="175">
        <f t="shared" si="8"/>
        <v>94</v>
      </c>
      <c r="R24" s="1" t="s">
        <v>1853</v>
      </c>
      <c r="S24" s="170">
        <v>0.08</v>
      </c>
      <c r="T24" s="1" t="s">
        <v>1854</v>
      </c>
      <c r="U24" s="170">
        <v>0.52</v>
      </c>
      <c r="W24" t="s">
        <v>1906</v>
      </c>
    </row>
    <row r="25" spans="1:27" x14ac:dyDescent="0.25">
      <c r="A25" t="s">
        <v>1952</v>
      </c>
      <c r="B25">
        <v>1</v>
      </c>
      <c r="C25" s="172" t="s">
        <v>1923</v>
      </c>
      <c r="D25"/>
      <c r="G25">
        <v>33</v>
      </c>
      <c r="I25">
        <f t="shared" si="7"/>
        <v>130</v>
      </c>
      <c r="J25">
        <v>13</v>
      </c>
      <c r="L25" s="174">
        <v>47</v>
      </c>
      <c r="P25" s="175">
        <f t="shared" si="8"/>
        <v>47</v>
      </c>
      <c r="R25" s="1" t="s">
        <v>1855</v>
      </c>
      <c r="S25" s="170">
        <v>0.73</v>
      </c>
      <c r="T25" s="1" t="s">
        <v>1856</v>
      </c>
      <c r="U25" s="170">
        <v>16</v>
      </c>
      <c r="W25" t="s">
        <v>1907</v>
      </c>
    </row>
    <row r="26" spans="1:27" x14ac:dyDescent="0.25">
      <c r="A26" t="s">
        <v>249</v>
      </c>
      <c r="B26">
        <v>1</v>
      </c>
      <c r="C26" s="172" t="s">
        <v>1923</v>
      </c>
      <c r="D26"/>
      <c r="G26">
        <v>33</v>
      </c>
      <c r="I26">
        <f t="shared" si="7"/>
        <v>130</v>
      </c>
      <c r="J26">
        <v>13</v>
      </c>
      <c r="L26" s="174">
        <v>47</v>
      </c>
      <c r="P26" s="175">
        <f t="shared" si="8"/>
        <v>47</v>
      </c>
      <c r="R26" s="1" t="s">
        <v>1857</v>
      </c>
      <c r="S26" s="170">
        <v>0.75</v>
      </c>
      <c r="T26" s="1" t="s">
        <v>1858</v>
      </c>
      <c r="U26" s="170">
        <v>0.73</v>
      </c>
      <c r="W26" t="s">
        <v>1908</v>
      </c>
    </row>
    <row r="27" spans="1:27" x14ac:dyDescent="0.25">
      <c r="A27" t="s">
        <v>1953</v>
      </c>
      <c r="B27">
        <v>1</v>
      </c>
      <c r="C27" s="172" t="s">
        <v>1923</v>
      </c>
      <c r="D27"/>
      <c r="G27">
        <v>33</v>
      </c>
      <c r="I27">
        <f t="shared" si="7"/>
        <v>130</v>
      </c>
      <c r="J27">
        <v>13</v>
      </c>
      <c r="L27" s="174">
        <v>47</v>
      </c>
      <c r="P27" s="175">
        <f t="shared" si="8"/>
        <v>47</v>
      </c>
      <c r="R27" s="1"/>
      <c r="S27" s="4"/>
      <c r="T27" s="1"/>
      <c r="U27" s="4"/>
    </row>
    <row r="28" spans="1:27" x14ac:dyDescent="0.25">
      <c r="A28" t="s">
        <v>1954</v>
      </c>
      <c r="B28">
        <v>1</v>
      </c>
      <c r="C28" s="172" t="s">
        <v>1923</v>
      </c>
      <c r="D28"/>
      <c r="G28">
        <v>33</v>
      </c>
      <c r="I28">
        <f t="shared" si="7"/>
        <v>130</v>
      </c>
      <c r="J28">
        <v>13</v>
      </c>
      <c r="L28" s="174">
        <v>47</v>
      </c>
      <c r="P28" s="175">
        <f t="shared" si="8"/>
        <v>47</v>
      </c>
      <c r="R28" s="1" t="s">
        <v>1887</v>
      </c>
      <c r="S28" s="4"/>
      <c r="T28" s="1"/>
      <c r="U28" s="4"/>
    </row>
    <row r="29" spans="1:27" x14ac:dyDescent="0.25">
      <c r="A29" t="s">
        <v>1955</v>
      </c>
      <c r="B29">
        <v>1</v>
      </c>
      <c r="C29" s="172" t="s">
        <v>1923</v>
      </c>
      <c r="D29"/>
      <c r="G29">
        <v>33</v>
      </c>
      <c r="I29">
        <f t="shared" si="7"/>
        <v>130</v>
      </c>
      <c r="J29">
        <v>13</v>
      </c>
      <c r="L29" s="174">
        <v>47</v>
      </c>
      <c r="P29" s="175">
        <f t="shared" si="8"/>
        <v>47</v>
      </c>
      <c r="R29" s="1"/>
      <c r="S29" s="4"/>
      <c r="T29" s="1"/>
      <c r="U29" s="4"/>
    </row>
    <row r="30" spans="1:27" x14ac:dyDescent="0.25">
      <c r="A30" t="s">
        <v>1956</v>
      </c>
      <c r="B30">
        <v>2</v>
      </c>
      <c r="C30" s="172" t="s">
        <v>1923</v>
      </c>
      <c r="D30"/>
      <c r="G30">
        <v>33</v>
      </c>
      <c r="I30">
        <f t="shared" si="7"/>
        <v>260</v>
      </c>
      <c r="J30">
        <v>13</v>
      </c>
      <c r="L30" s="174">
        <v>47</v>
      </c>
      <c r="P30" s="175">
        <f t="shared" si="8"/>
        <v>94</v>
      </c>
      <c r="R30" s="1" t="s">
        <v>1888</v>
      </c>
      <c r="S30" s="170">
        <v>6.67</v>
      </c>
      <c r="T30" s="1" t="s">
        <v>1859</v>
      </c>
      <c r="U30" s="170">
        <v>0.33</v>
      </c>
    </row>
    <row r="31" spans="1:27" x14ac:dyDescent="0.25">
      <c r="A31" t="s">
        <v>1957</v>
      </c>
      <c r="B31">
        <v>3</v>
      </c>
      <c r="C31" s="172" t="s">
        <v>1923</v>
      </c>
      <c r="D31"/>
      <c r="G31">
        <v>33</v>
      </c>
      <c r="I31">
        <f t="shared" si="7"/>
        <v>390</v>
      </c>
      <c r="J31">
        <v>13</v>
      </c>
      <c r="L31" s="174">
        <v>47</v>
      </c>
      <c r="P31" s="175">
        <f t="shared" si="8"/>
        <v>141</v>
      </c>
      <c r="R31" s="1" t="s">
        <v>1860</v>
      </c>
      <c r="S31" s="170" t="s">
        <v>1861</v>
      </c>
      <c r="T31" s="1" t="s">
        <v>1889</v>
      </c>
      <c r="U31" s="170" t="s">
        <v>1862</v>
      </c>
    </row>
    <row r="32" spans="1:27" x14ac:dyDescent="0.25">
      <c r="A32" t="s">
        <v>1958</v>
      </c>
      <c r="B32">
        <v>2</v>
      </c>
      <c r="C32" s="172" t="s">
        <v>1922</v>
      </c>
      <c r="D32"/>
      <c r="G32">
        <v>14</v>
      </c>
      <c r="I32">
        <v>54</v>
      </c>
      <c r="J32">
        <v>5.7</v>
      </c>
      <c r="L32" s="174">
        <v>47</v>
      </c>
      <c r="P32" s="175">
        <f t="shared" ref="P32:P38" si="9">L32*B32</f>
        <v>94</v>
      </c>
      <c r="R32" s="1" t="s">
        <v>1863</v>
      </c>
      <c r="S32" s="170">
        <v>8</v>
      </c>
      <c r="T32" s="1" t="s">
        <v>1890</v>
      </c>
      <c r="U32" s="170" t="s">
        <v>1864</v>
      </c>
    </row>
    <row r="33" spans="1:21" x14ac:dyDescent="0.25">
      <c r="A33" t="s">
        <v>1959</v>
      </c>
      <c r="B33">
        <v>2</v>
      </c>
      <c r="C33" s="172" t="s">
        <v>1922</v>
      </c>
      <c r="D33"/>
      <c r="G33">
        <v>14</v>
      </c>
      <c r="I33">
        <v>54</v>
      </c>
      <c r="J33">
        <v>5.7</v>
      </c>
      <c r="L33" s="174">
        <v>47</v>
      </c>
      <c r="P33" s="175">
        <f t="shared" si="9"/>
        <v>94</v>
      </c>
      <c r="Q33" s="173"/>
      <c r="R33" s="1" t="s">
        <v>1891</v>
      </c>
      <c r="S33" s="170" t="s">
        <v>1865</v>
      </c>
      <c r="T33" s="1" t="s">
        <v>1892</v>
      </c>
      <c r="U33" s="170">
        <v>0.87</v>
      </c>
    </row>
    <row r="34" spans="1:21" x14ac:dyDescent="0.25">
      <c r="A34" t="s">
        <v>1960</v>
      </c>
      <c r="B34">
        <v>2</v>
      </c>
      <c r="C34" s="172" t="s">
        <v>1922</v>
      </c>
      <c r="D34"/>
      <c r="G34">
        <v>14</v>
      </c>
      <c r="I34">
        <v>54</v>
      </c>
      <c r="J34">
        <v>5.7</v>
      </c>
      <c r="L34" s="174">
        <v>47</v>
      </c>
      <c r="P34" s="175">
        <f t="shared" si="9"/>
        <v>94</v>
      </c>
      <c r="Q34" s="174"/>
      <c r="R34" s="1"/>
      <c r="S34" s="4"/>
      <c r="T34" s="1"/>
      <c r="U34" s="4"/>
    </row>
    <row r="35" spans="1:21" x14ac:dyDescent="0.25">
      <c r="A35" t="s">
        <v>1961</v>
      </c>
      <c r="B35">
        <v>2</v>
      </c>
      <c r="C35" s="172" t="s">
        <v>1922</v>
      </c>
      <c r="D35"/>
      <c r="G35">
        <v>14</v>
      </c>
      <c r="I35">
        <v>54</v>
      </c>
      <c r="J35">
        <v>5.7</v>
      </c>
      <c r="L35" s="174">
        <v>47</v>
      </c>
      <c r="P35" s="175">
        <f t="shared" si="9"/>
        <v>94</v>
      </c>
      <c r="Q35" s="174"/>
      <c r="R35" s="1" t="s">
        <v>1893</v>
      </c>
      <c r="S35" s="4"/>
      <c r="T35" s="1"/>
      <c r="U35" s="4"/>
    </row>
    <row r="36" spans="1:21" x14ac:dyDescent="0.25">
      <c r="A36" t="s">
        <v>1962</v>
      </c>
      <c r="B36">
        <v>2</v>
      </c>
      <c r="C36" s="172" t="s">
        <v>1922</v>
      </c>
      <c r="D36"/>
      <c r="G36">
        <v>14</v>
      </c>
      <c r="I36">
        <v>54</v>
      </c>
      <c r="J36">
        <v>5.7</v>
      </c>
      <c r="L36" s="174">
        <v>47</v>
      </c>
      <c r="P36" s="175">
        <f t="shared" si="9"/>
        <v>94</v>
      </c>
      <c r="Q36" s="174"/>
      <c r="R36" s="1"/>
      <c r="S36" s="4"/>
      <c r="T36" s="1"/>
      <c r="U36" s="4"/>
    </row>
    <row r="37" spans="1:21" x14ac:dyDescent="0.25">
      <c r="A37" t="s">
        <v>1963</v>
      </c>
      <c r="B37">
        <v>4</v>
      </c>
      <c r="C37" s="172" t="s">
        <v>1922</v>
      </c>
      <c r="D37"/>
      <c r="G37">
        <v>14</v>
      </c>
      <c r="I37">
        <v>54</v>
      </c>
      <c r="J37">
        <v>5.7</v>
      </c>
      <c r="L37" s="174">
        <v>47</v>
      </c>
      <c r="P37" s="175">
        <f t="shared" si="9"/>
        <v>188</v>
      </c>
      <c r="Q37" s="174"/>
      <c r="R37" s="1" t="s">
        <v>1866</v>
      </c>
      <c r="S37" s="171" t="s">
        <v>1898</v>
      </c>
      <c r="T37" s="1" t="s">
        <v>1867</v>
      </c>
      <c r="U37" s="170">
        <v>7.3</v>
      </c>
    </row>
    <row r="38" spans="1:21" ht="15.75" thickBot="1" x14ac:dyDescent="0.3">
      <c r="A38" t="s">
        <v>1965</v>
      </c>
      <c r="B38">
        <v>2</v>
      </c>
      <c r="D38"/>
      <c r="L38" s="174">
        <v>200</v>
      </c>
      <c r="O38" s="176"/>
      <c r="P38" s="177">
        <f t="shared" si="9"/>
        <v>400</v>
      </c>
      <c r="R38" s="1" t="s">
        <v>1868</v>
      </c>
      <c r="S38" s="170">
        <v>0.93</v>
      </c>
      <c r="T38" s="1" t="s">
        <v>1869</v>
      </c>
      <c r="U38" s="170">
        <v>1.22</v>
      </c>
    </row>
    <row r="39" spans="1:21" x14ac:dyDescent="0.25">
      <c r="A39" t="s">
        <v>1964</v>
      </c>
      <c r="B39"/>
      <c r="D39"/>
      <c r="O39" t="s">
        <v>1942</v>
      </c>
      <c r="P39" s="175">
        <f>SUM(P22:P38)</f>
        <v>1904</v>
      </c>
      <c r="R39" s="1"/>
      <c r="S39" s="4"/>
      <c r="T39" s="1"/>
      <c r="U39" s="4"/>
    </row>
    <row r="40" spans="1:21" x14ac:dyDescent="0.25">
      <c r="A40" t="s">
        <v>1936</v>
      </c>
      <c r="B40"/>
      <c r="D40"/>
      <c r="R40" s="1" t="s">
        <v>1870</v>
      </c>
      <c r="S40" s="170">
        <v>3.4</v>
      </c>
      <c r="T40" s="1" t="s">
        <v>1871</v>
      </c>
      <c r="U40" s="170" t="s">
        <v>1894</v>
      </c>
    </row>
    <row r="41" spans="1:21" x14ac:dyDescent="0.25">
      <c r="A41" t="s">
        <v>1920</v>
      </c>
      <c r="B41" t="s">
        <v>1937</v>
      </c>
      <c r="D41"/>
      <c r="R41" s="1"/>
      <c r="S41" s="4"/>
      <c r="T41" s="1"/>
      <c r="U41" s="4"/>
    </row>
    <row r="42" spans="1:21" x14ac:dyDescent="0.25">
      <c r="B42"/>
      <c r="D42"/>
      <c r="R42" s="1" t="s">
        <v>1895</v>
      </c>
      <c r="S42" s="4"/>
      <c r="T42" s="1"/>
      <c r="U42" s="4"/>
    </row>
    <row r="43" spans="1:21" x14ac:dyDescent="0.25">
      <c r="A43" s="28" t="s">
        <v>868</v>
      </c>
      <c r="B43" s="32" t="s">
        <v>1990</v>
      </c>
      <c r="C43" s="32" t="s">
        <v>1991</v>
      </c>
      <c r="D43" s="32"/>
      <c r="E43" s="32"/>
      <c r="F43" s="32"/>
      <c r="G43" s="32" t="s">
        <v>1992</v>
      </c>
      <c r="H43" s="32"/>
      <c r="I43" s="173" t="s">
        <v>1966</v>
      </c>
      <c r="J43" s="32" t="s">
        <v>1386</v>
      </c>
      <c r="K43" s="32"/>
      <c r="L43" s="42" t="s">
        <v>1967</v>
      </c>
      <c r="M43" s="32"/>
      <c r="N43" s="32"/>
      <c r="O43" s="32"/>
      <c r="P43" s="32" t="s">
        <v>1942</v>
      </c>
      <c r="R43" s="1"/>
      <c r="S43" s="4"/>
      <c r="T43" s="1"/>
      <c r="U43" s="4"/>
    </row>
    <row r="44" spans="1:21" x14ac:dyDescent="0.25">
      <c r="A44" t="s">
        <v>1949</v>
      </c>
      <c r="B44">
        <v>4</v>
      </c>
      <c r="C44" s="1" t="s">
        <v>1975</v>
      </c>
      <c r="D44"/>
      <c r="G44">
        <v>24</v>
      </c>
      <c r="I44">
        <f t="shared" ref="I44:I53" si="10">130*B44</f>
        <v>520</v>
      </c>
      <c r="J44">
        <v>17</v>
      </c>
      <c r="L44" s="174">
        <v>1800</v>
      </c>
      <c r="P44" s="175">
        <f t="shared" ref="P44:P60" si="11">L44*B44</f>
        <v>7200</v>
      </c>
      <c r="R44" s="1" t="s">
        <v>1872</v>
      </c>
      <c r="S44" s="4">
        <v>1.6</v>
      </c>
      <c r="T44" s="1" t="s">
        <v>1873</v>
      </c>
      <c r="U44" s="4">
        <v>4</v>
      </c>
    </row>
    <row r="45" spans="1:21" x14ac:dyDescent="0.25">
      <c r="A45" t="s">
        <v>1950</v>
      </c>
      <c r="B45">
        <v>1</v>
      </c>
      <c r="C45" s="1" t="s">
        <v>1974</v>
      </c>
      <c r="D45"/>
      <c r="G45">
        <v>24</v>
      </c>
      <c r="I45">
        <v>54</v>
      </c>
      <c r="J45">
        <v>8.5</v>
      </c>
      <c r="L45" s="174">
        <v>875</v>
      </c>
      <c r="P45" s="175">
        <f t="shared" si="11"/>
        <v>875</v>
      </c>
      <c r="R45" s="1" t="s">
        <v>1874</v>
      </c>
      <c r="S45" s="4">
        <v>2.67</v>
      </c>
      <c r="T45" s="1" t="s">
        <v>1896</v>
      </c>
      <c r="U45" s="4">
        <v>1.6</v>
      </c>
    </row>
    <row r="46" spans="1:21" x14ac:dyDescent="0.25">
      <c r="A46" t="s">
        <v>1951</v>
      </c>
      <c r="B46">
        <v>1</v>
      </c>
      <c r="C46" s="1" t="s">
        <v>1974</v>
      </c>
      <c r="D46"/>
      <c r="G46">
        <v>24</v>
      </c>
      <c r="I46">
        <v>54</v>
      </c>
      <c r="J46">
        <v>8.5</v>
      </c>
      <c r="L46" s="174">
        <v>875</v>
      </c>
      <c r="P46" s="175">
        <f t="shared" si="11"/>
        <v>875</v>
      </c>
      <c r="S46" s="33"/>
      <c r="U46" s="33"/>
    </row>
    <row r="47" spans="1:21" x14ac:dyDescent="0.25">
      <c r="A47" t="s">
        <v>1952</v>
      </c>
      <c r="B47">
        <v>1</v>
      </c>
      <c r="C47" s="1" t="s">
        <v>1974</v>
      </c>
      <c r="D47"/>
      <c r="G47">
        <v>24</v>
      </c>
      <c r="I47">
        <v>54</v>
      </c>
      <c r="J47">
        <v>8.5</v>
      </c>
      <c r="L47" s="174">
        <v>875</v>
      </c>
      <c r="P47" s="175">
        <f t="shared" si="11"/>
        <v>875</v>
      </c>
      <c r="R47" t="s">
        <v>1902</v>
      </c>
      <c r="S47" s="33"/>
      <c r="U47" s="33"/>
    </row>
    <row r="48" spans="1:21" x14ac:dyDescent="0.25">
      <c r="A48" t="s">
        <v>249</v>
      </c>
      <c r="B48">
        <v>1</v>
      </c>
      <c r="C48" s="1" t="s">
        <v>1974</v>
      </c>
      <c r="D48"/>
      <c r="G48">
        <v>24</v>
      </c>
      <c r="I48">
        <v>54</v>
      </c>
      <c r="J48">
        <v>8.5</v>
      </c>
      <c r="L48" s="174">
        <v>875</v>
      </c>
      <c r="P48" s="175">
        <f t="shared" si="11"/>
        <v>875</v>
      </c>
      <c r="S48" s="33"/>
      <c r="U48" s="33"/>
    </row>
    <row r="49" spans="1:18" x14ac:dyDescent="0.25">
      <c r="A49" t="s">
        <v>1953</v>
      </c>
      <c r="B49">
        <v>1</v>
      </c>
      <c r="C49" s="1" t="s">
        <v>1974</v>
      </c>
      <c r="D49"/>
      <c r="G49">
        <v>24</v>
      </c>
      <c r="I49">
        <v>54</v>
      </c>
      <c r="J49">
        <v>8.5</v>
      </c>
      <c r="L49" s="174">
        <v>875</v>
      </c>
      <c r="P49" s="175">
        <f t="shared" si="11"/>
        <v>875</v>
      </c>
      <c r="R49" s="160" t="s">
        <v>1900</v>
      </c>
    </row>
    <row r="50" spans="1:18" x14ac:dyDescent="0.25">
      <c r="A50" t="s">
        <v>1954</v>
      </c>
      <c r="B50">
        <v>1</v>
      </c>
      <c r="C50" s="1" t="s">
        <v>1974</v>
      </c>
      <c r="D50"/>
      <c r="G50">
        <v>24</v>
      </c>
      <c r="I50">
        <v>54</v>
      </c>
      <c r="J50">
        <v>8.5</v>
      </c>
      <c r="L50" s="174">
        <v>875</v>
      </c>
      <c r="P50" s="175">
        <f t="shared" si="11"/>
        <v>875</v>
      </c>
      <c r="R50" s="160" t="s">
        <v>1901</v>
      </c>
    </row>
    <row r="51" spans="1:18" x14ac:dyDescent="0.25">
      <c r="A51" t="s">
        <v>1955</v>
      </c>
      <c r="B51">
        <v>1</v>
      </c>
      <c r="C51" s="1" t="s">
        <v>1974</v>
      </c>
      <c r="D51"/>
      <c r="G51">
        <v>24</v>
      </c>
      <c r="I51">
        <v>54</v>
      </c>
      <c r="J51">
        <v>8.5</v>
      </c>
      <c r="L51" s="174">
        <v>875</v>
      </c>
      <c r="P51" s="175">
        <f t="shared" si="11"/>
        <v>875</v>
      </c>
      <c r="R51" s="160" t="s">
        <v>1899</v>
      </c>
    </row>
    <row r="52" spans="1:18" x14ac:dyDescent="0.25">
      <c r="A52" t="s">
        <v>1956</v>
      </c>
      <c r="B52">
        <v>2</v>
      </c>
      <c r="C52" s="1" t="s">
        <v>1974</v>
      </c>
      <c r="D52"/>
      <c r="G52">
        <v>24</v>
      </c>
      <c r="I52">
        <v>54</v>
      </c>
      <c r="J52">
        <v>8.5</v>
      </c>
      <c r="L52" s="174">
        <v>875</v>
      </c>
      <c r="P52" s="175">
        <f t="shared" si="11"/>
        <v>1750</v>
      </c>
    </row>
    <row r="53" spans="1:18" x14ac:dyDescent="0.25">
      <c r="A53" t="s">
        <v>1957</v>
      </c>
      <c r="B53">
        <v>2</v>
      </c>
      <c r="C53" s="1" t="s">
        <v>1975</v>
      </c>
      <c r="D53"/>
      <c r="G53">
        <v>24</v>
      </c>
      <c r="I53">
        <f t="shared" si="10"/>
        <v>260</v>
      </c>
      <c r="J53">
        <v>17</v>
      </c>
      <c r="L53" s="174">
        <v>1800</v>
      </c>
      <c r="P53" s="175">
        <f t="shared" si="11"/>
        <v>3600</v>
      </c>
    </row>
    <row r="54" spans="1:18" x14ac:dyDescent="0.25">
      <c r="A54" t="s">
        <v>1958</v>
      </c>
      <c r="B54">
        <v>2</v>
      </c>
      <c r="C54" s="1" t="s">
        <v>1974</v>
      </c>
      <c r="D54"/>
      <c r="G54">
        <v>24</v>
      </c>
      <c r="I54">
        <v>54</v>
      </c>
      <c r="J54">
        <v>8.5</v>
      </c>
      <c r="L54" s="174">
        <v>875</v>
      </c>
      <c r="P54" s="175">
        <f t="shared" si="11"/>
        <v>1750</v>
      </c>
    </row>
    <row r="55" spans="1:18" x14ac:dyDescent="0.25">
      <c r="A55" t="s">
        <v>1959</v>
      </c>
      <c r="B55">
        <v>2</v>
      </c>
      <c r="C55" s="1" t="s">
        <v>1974</v>
      </c>
      <c r="D55"/>
      <c r="G55">
        <v>24</v>
      </c>
      <c r="I55">
        <v>54</v>
      </c>
      <c r="J55">
        <v>8.5</v>
      </c>
      <c r="L55" s="174">
        <v>875</v>
      </c>
      <c r="P55" s="175">
        <f t="shared" si="11"/>
        <v>1750</v>
      </c>
    </row>
    <row r="56" spans="1:18" x14ac:dyDescent="0.25">
      <c r="A56" t="s">
        <v>1960</v>
      </c>
      <c r="B56">
        <v>2</v>
      </c>
      <c r="C56" s="1" t="s">
        <v>1974</v>
      </c>
      <c r="D56"/>
      <c r="G56">
        <v>24</v>
      </c>
      <c r="I56">
        <v>54</v>
      </c>
      <c r="J56">
        <v>8.5</v>
      </c>
      <c r="L56" s="174">
        <v>875</v>
      </c>
      <c r="P56" s="175">
        <f t="shared" si="11"/>
        <v>1750</v>
      </c>
    </row>
    <row r="57" spans="1:18" x14ac:dyDescent="0.25">
      <c r="A57" t="s">
        <v>1961</v>
      </c>
      <c r="B57">
        <v>2</v>
      </c>
      <c r="C57" s="1" t="s">
        <v>1974</v>
      </c>
      <c r="D57"/>
      <c r="G57">
        <v>24</v>
      </c>
      <c r="I57">
        <v>54</v>
      </c>
      <c r="J57">
        <v>8.5</v>
      </c>
      <c r="L57" s="174">
        <v>875</v>
      </c>
      <c r="P57" s="175">
        <f t="shared" si="11"/>
        <v>1750</v>
      </c>
    </row>
    <row r="58" spans="1:18" x14ac:dyDescent="0.25">
      <c r="A58" t="s">
        <v>1962</v>
      </c>
      <c r="B58">
        <v>2</v>
      </c>
      <c r="C58" s="1" t="s">
        <v>1974</v>
      </c>
      <c r="D58"/>
      <c r="G58">
        <v>24</v>
      </c>
      <c r="I58">
        <v>54</v>
      </c>
      <c r="J58">
        <v>8.5</v>
      </c>
      <c r="L58" s="174">
        <v>875</v>
      </c>
      <c r="P58" s="175">
        <f t="shared" si="11"/>
        <v>1750</v>
      </c>
    </row>
    <row r="59" spans="1:18" x14ac:dyDescent="0.25">
      <c r="A59" t="s">
        <v>1963</v>
      </c>
      <c r="B59">
        <v>2</v>
      </c>
      <c r="C59" s="1" t="s">
        <v>1974</v>
      </c>
      <c r="D59"/>
      <c r="G59">
        <v>24</v>
      </c>
      <c r="I59">
        <v>54</v>
      </c>
      <c r="J59">
        <v>8.5</v>
      </c>
      <c r="L59" s="174">
        <v>875</v>
      </c>
      <c r="P59" s="175">
        <f t="shared" si="11"/>
        <v>1750</v>
      </c>
    </row>
    <row r="60" spans="1:18" ht="15.75" thickBot="1" x14ac:dyDescent="0.3">
      <c r="A60" t="s">
        <v>1965</v>
      </c>
      <c r="B60">
        <v>2</v>
      </c>
      <c r="D60"/>
      <c r="L60" s="174">
        <v>200</v>
      </c>
      <c r="O60" s="176"/>
      <c r="P60" s="177">
        <f t="shared" si="11"/>
        <v>400</v>
      </c>
    </row>
    <row r="61" spans="1:18" x14ac:dyDescent="0.25">
      <c r="A61" t="s">
        <v>2078</v>
      </c>
      <c r="B61"/>
      <c r="D61"/>
      <c r="O61" t="s">
        <v>1942</v>
      </c>
      <c r="P61" s="175">
        <f>SUM(P44:P60)</f>
        <v>29575</v>
      </c>
      <c r="R61">
        <f>P61/P39</f>
        <v>15.533088235294118</v>
      </c>
    </row>
    <row r="62" spans="1:18" x14ac:dyDescent="0.25">
      <c r="A62" t="s">
        <v>1980</v>
      </c>
    </row>
    <row r="63" spans="1:18" x14ac:dyDescent="0.25">
      <c r="A63" t="s">
        <v>1979</v>
      </c>
    </row>
    <row r="66" spans="1:16" x14ac:dyDescent="0.25">
      <c r="A66" t="s">
        <v>1936</v>
      </c>
      <c r="B66" t="s">
        <v>1937</v>
      </c>
      <c r="D66"/>
      <c r="G66" t="s">
        <v>2101</v>
      </c>
    </row>
    <row r="67" spans="1:16" x14ac:dyDescent="0.25">
      <c r="A67" t="s">
        <v>1920</v>
      </c>
      <c r="B67"/>
      <c r="D67"/>
    </row>
    <row r="68" spans="1:16" ht="45" x14ac:dyDescent="0.25">
      <c r="A68" s="173" t="s">
        <v>1935</v>
      </c>
      <c r="B68" s="173" t="s">
        <v>1927</v>
      </c>
      <c r="C68" s="173" t="s">
        <v>1928</v>
      </c>
      <c r="D68" s="173" t="s">
        <v>1946</v>
      </c>
      <c r="E68" s="173" t="s">
        <v>1929</v>
      </c>
      <c r="F68" s="173" t="s">
        <v>1930</v>
      </c>
      <c r="G68" s="173" t="s">
        <v>1931</v>
      </c>
      <c r="H68" s="173" t="s">
        <v>1932</v>
      </c>
      <c r="I68" s="173" t="s">
        <v>1934</v>
      </c>
      <c r="J68" s="172" t="s">
        <v>1921</v>
      </c>
      <c r="K68" s="173" t="s">
        <v>1933</v>
      </c>
      <c r="L68" s="173" t="s">
        <v>1943</v>
      </c>
      <c r="M68" s="173" t="s">
        <v>1939</v>
      </c>
      <c r="N68" s="173" t="s">
        <v>1940</v>
      </c>
      <c r="O68" s="173" t="s">
        <v>1941</v>
      </c>
      <c r="P68" s="173" t="s">
        <v>1942</v>
      </c>
    </row>
    <row r="69" spans="1:16" x14ac:dyDescent="0.25">
      <c r="A69" s="172" t="s">
        <v>1922</v>
      </c>
      <c r="B69" s="172">
        <v>15</v>
      </c>
      <c r="C69" s="172">
        <v>357</v>
      </c>
      <c r="D69" s="54">
        <f>C69*0.0393701</f>
        <v>14.0551257</v>
      </c>
      <c r="E69" s="172">
        <v>277</v>
      </c>
      <c r="F69" s="172">
        <v>17</v>
      </c>
      <c r="G69" s="172">
        <v>425</v>
      </c>
      <c r="H69" s="172">
        <v>51</v>
      </c>
      <c r="I69" s="172">
        <v>54</v>
      </c>
      <c r="J69" s="172">
        <v>5.7</v>
      </c>
      <c r="K69" s="172">
        <v>9000</v>
      </c>
      <c r="L69" s="174">
        <v>10</v>
      </c>
      <c r="M69" s="174">
        <v>1</v>
      </c>
      <c r="N69" s="174">
        <v>11</v>
      </c>
      <c r="O69" s="174">
        <v>25</v>
      </c>
      <c r="P69" s="174">
        <f>SUM(L69:O69)</f>
        <v>47</v>
      </c>
    </row>
    <row r="70" spans="1:16" x14ac:dyDescent="0.25">
      <c r="A70" s="172" t="s">
        <v>1923</v>
      </c>
      <c r="B70" s="172">
        <v>15</v>
      </c>
      <c r="C70" s="172">
        <v>843</v>
      </c>
      <c r="D70" s="54">
        <f t="shared" ref="D70:D72" si="12">C70*0.0393701</f>
        <v>33.188994299999997</v>
      </c>
      <c r="E70" s="172">
        <v>763</v>
      </c>
      <c r="F70" s="172">
        <v>41</v>
      </c>
      <c r="G70" s="172">
        <v>425</v>
      </c>
      <c r="H70" s="172">
        <v>120</v>
      </c>
      <c r="I70" s="172">
        <v>130</v>
      </c>
      <c r="J70" s="172">
        <v>13</v>
      </c>
      <c r="K70" s="172">
        <v>9000</v>
      </c>
      <c r="L70" s="174">
        <v>10</v>
      </c>
      <c r="M70" s="174">
        <v>1</v>
      </c>
      <c r="N70" s="174">
        <v>11</v>
      </c>
      <c r="O70" s="174">
        <v>25</v>
      </c>
      <c r="P70" s="174">
        <f t="shared" ref="P70:P72" si="13">SUM(L70:O70)</f>
        <v>47</v>
      </c>
    </row>
    <row r="71" spans="1:16" x14ac:dyDescent="0.25">
      <c r="A71" s="172" t="s">
        <v>1924</v>
      </c>
      <c r="B71" s="172">
        <v>15</v>
      </c>
      <c r="C71" s="172">
        <v>1148</v>
      </c>
      <c r="D71" s="54">
        <f t="shared" si="12"/>
        <v>45.196874799999996</v>
      </c>
      <c r="E71" s="172">
        <v>1068</v>
      </c>
      <c r="F71" s="172">
        <v>55</v>
      </c>
      <c r="G71" s="172">
        <v>425</v>
      </c>
      <c r="H71" s="172">
        <v>165</v>
      </c>
      <c r="I71" s="172">
        <v>170</v>
      </c>
      <c r="J71" s="172">
        <v>18</v>
      </c>
      <c r="K71" s="172">
        <v>9000</v>
      </c>
      <c r="L71" s="174">
        <v>10</v>
      </c>
      <c r="M71" s="174">
        <v>1</v>
      </c>
      <c r="N71" s="174">
        <v>11</v>
      </c>
      <c r="O71" s="174">
        <v>25</v>
      </c>
      <c r="P71" s="174">
        <f t="shared" si="13"/>
        <v>47</v>
      </c>
    </row>
    <row r="72" spans="1:16" x14ac:dyDescent="0.25">
      <c r="A72" s="172" t="s">
        <v>1925</v>
      </c>
      <c r="B72" s="172">
        <v>15</v>
      </c>
      <c r="C72" s="172">
        <v>1554</v>
      </c>
      <c r="D72" s="54">
        <f t="shared" si="12"/>
        <v>61.181135399999995</v>
      </c>
      <c r="E72" s="172">
        <v>1474</v>
      </c>
      <c r="F72" s="172">
        <v>75</v>
      </c>
      <c r="G72" s="172">
        <v>425</v>
      </c>
      <c r="H72" s="172">
        <v>220</v>
      </c>
      <c r="I72" s="172">
        <v>225</v>
      </c>
      <c r="J72" s="172">
        <v>24</v>
      </c>
      <c r="K72" s="172">
        <v>9000</v>
      </c>
      <c r="L72" t="s">
        <v>1938</v>
      </c>
      <c r="M72" s="174">
        <v>1</v>
      </c>
      <c r="N72" s="174">
        <v>25</v>
      </c>
      <c r="O72" s="174">
        <v>25</v>
      </c>
      <c r="P72" s="174">
        <f t="shared" si="13"/>
        <v>51</v>
      </c>
    </row>
    <row r="73" spans="1:16" x14ac:dyDescent="0.25">
      <c r="A73" s="160" t="s">
        <v>1944</v>
      </c>
      <c r="B73"/>
      <c r="D73"/>
    </row>
    <row r="74" spans="1:16" x14ac:dyDescent="0.25">
      <c r="A74" s="172" t="s">
        <v>1947</v>
      </c>
    </row>
    <row r="76" spans="1:16" x14ac:dyDescent="0.25">
      <c r="A76" t="s">
        <v>1980</v>
      </c>
    </row>
    <row r="77" spans="1:16" x14ac:dyDescent="0.25">
      <c r="A77" t="s">
        <v>1979</v>
      </c>
    </row>
    <row r="78" spans="1:16" ht="60" x14ac:dyDescent="0.25">
      <c r="A78" s="173" t="s">
        <v>1968</v>
      </c>
      <c r="B78" s="173" t="s">
        <v>1969</v>
      </c>
      <c r="C78" s="173" t="s">
        <v>1973</v>
      </c>
      <c r="D78" s="173" t="s">
        <v>1978</v>
      </c>
      <c r="E78" s="173" t="s">
        <v>1977</v>
      </c>
      <c r="F78" s="173" t="s">
        <v>1976</v>
      </c>
      <c r="G78" s="173" t="s">
        <v>1970</v>
      </c>
      <c r="H78" s="173" t="s">
        <v>1971</v>
      </c>
      <c r="I78" s="173" t="s">
        <v>1972</v>
      </c>
    </row>
    <row r="79" spans="1:16" ht="15" customHeight="1" x14ac:dyDescent="0.25">
      <c r="A79" s="6" t="s">
        <v>1974</v>
      </c>
      <c r="B79" s="6">
        <v>120</v>
      </c>
      <c r="C79" s="6">
        <v>1</v>
      </c>
      <c r="D79" s="6">
        <v>31</v>
      </c>
      <c r="E79" s="6">
        <v>8.5</v>
      </c>
      <c r="F79" s="6">
        <v>24</v>
      </c>
      <c r="G79" s="179">
        <v>5.34375</v>
      </c>
      <c r="H79" s="179">
        <v>7.875</v>
      </c>
      <c r="I79" s="178">
        <v>875</v>
      </c>
    </row>
    <row r="80" spans="1:16" ht="30" x14ac:dyDescent="0.25">
      <c r="A80" s="6" t="s">
        <v>1975</v>
      </c>
      <c r="B80" s="6">
        <v>120</v>
      </c>
      <c r="C80" s="6">
        <v>2</v>
      </c>
      <c r="D80" s="6">
        <v>61</v>
      </c>
      <c r="E80" s="6">
        <v>17</v>
      </c>
      <c r="F80" s="6">
        <v>24</v>
      </c>
      <c r="G80" s="179">
        <v>10.5313</v>
      </c>
      <c r="H80" s="179">
        <v>7.875</v>
      </c>
      <c r="I80" s="178">
        <v>1800</v>
      </c>
    </row>
    <row r="81" spans="1:9" x14ac:dyDescent="0.25">
      <c r="A81" s="6"/>
      <c r="B81" s="6"/>
      <c r="C81" s="6"/>
      <c r="D81" s="6"/>
      <c r="E81" s="6"/>
      <c r="F81" s="6"/>
      <c r="G81" s="179"/>
      <c r="H81" s="179"/>
      <c r="I81" s="178"/>
    </row>
    <row r="82" spans="1:9" ht="15" customHeight="1" x14ac:dyDescent="0.25">
      <c r="A82" t="s">
        <v>2066</v>
      </c>
    </row>
    <row r="83" spans="1:9" ht="15" customHeight="1" x14ac:dyDescent="0.25">
      <c r="A83" s="1"/>
    </row>
    <row r="84" spans="1:9" ht="15" customHeight="1" x14ac:dyDescent="0.25"/>
    <row r="85" spans="1:9" x14ac:dyDescent="0.25">
      <c r="A85" s="1" t="s">
        <v>1981</v>
      </c>
      <c r="B85" s="6"/>
      <c r="C85" s="6"/>
      <c r="D85" s="6"/>
      <c r="E85" s="6"/>
      <c r="F85" s="6"/>
      <c r="G85" s="6"/>
      <c r="H85" s="6"/>
      <c r="I85" s="6"/>
    </row>
    <row r="86" spans="1:9" x14ac:dyDescent="0.25">
      <c r="A86" t="s">
        <v>1982</v>
      </c>
    </row>
    <row r="87" spans="1:9" x14ac:dyDescent="0.25">
      <c r="A87" t="s">
        <v>1986</v>
      </c>
    </row>
    <row r="88" spans="1:9" x14ac:dyDescent="0.25">
      <c r="A88" t="s">
        <v>1983</v>
      </c>
    </row>
    <row r="89" spans="1:9" x14ac:dyDescent="0.25">
      <c r="A89" t="s">
        <v>1984</v>
      </c>
    </row>
    <row r="90" spans="1:9" x14ac:dyDescent="0.25">
      <c r="A90" t="s">
        <v>1985</v>
      </c>
    </row>
    <row r="91" spans="1:9" x14ac:dyDescent="0.25">
      <c r="A91" t="s">
        <v>1987</v>
      </c>
    </row>
    <row r="92" spans="1:9" x14ac:dyDescent="0.25">
      <c r="A92" t="s">
        <v>1988</v>
      </c>
    </row>
    <row r="93" spans="1:9" x14ac:dyDescent="0.25">
      <c r="A93" t="s">
        <v>1989</v>
      </c>
    </row>
    <row r="95" spans="1:9" x14ac:dyDescent="0.25">
      <c r="A95" t="s">
        <v>2027</v>
      </c>
    </row>
    <row r="96" spans="1:9" x14ac:dyDescent="0.25">
      <c r="A96" t="s">
        <v>1993</v>
      </c>
    </row>
    <row r="97" spans="1:12" x14ac:dyDescent="0.25">
      <c r="A97" s="17" t="s">
        <v>1994</v>
      </c>
      <c r="B97" s="17" t="s">
        <v>1995</v>
      </c>
      <c r="C97" s="17"/>
      <c r="D97" s="17"/>
      <c r="E97" s="17" t="s">
        <v>1996</v>
      </c>
      <c r="F97" s="17"/>
      <c r="G97" s="17"/>
      <c r="H97" s="17" t="s">
        <v>1997</v>
      </c>
      <c r="I97" s="17"/>
      <c r="J97" s="17"/>
      <c r="K97" s="17" t="s">
        <v>1998</v>
      </c>
      <c r="L97" s="17"/>
    </row>
    <row r="98" spans="1:12" x14ac:dyDescent="0.25">
      <c r="A98" s="17" t="s">
        <v>1999</v>
      </c>
      <c r="B98" s="17" t="s">
        <v>2000</v>
      </c>
      <c r="C98" s="17"/>
      <c r="D98" s="17"/>
      <c r="E98" s="17" t="s">
        <v>2001</v>
      </c>
      <c r="F98" s="17"/>
      <c r="G98" s="17"/>
      <c r="H98" s="17" t="s">
        <v>2002</v>
      </c>
      <c r="I98" s="17"/>
      <c r="J98" s="17"/>
      <c r="K98" s="17" t="s">
        <v>2003</v>
      </c>
      <c r="L98" s="17"/>
    </row>
    <row r="99" spans="1:12" x14ac:dyDescent="0.25">
      <c r="A99" s="17" t="s">
        <v>2004</v>
      </c>
      <c r="B99" s="17" t="s">
        <v>2005</v>
      </c>
      <c r="C99" s="17"/>
      <c r="D99" s="17"/>
      <c r="E99" s="17" t="s">
        <v>2005</v>
      </c>
      <c r="F99" s="17"/>
      <c r="G99" s="17"/>
      <c r="H99" s="17" t="s">
        <v>2005</v>
      </c>
      <c r="I99" s="17"/>
      <c r="J99" s="17"/>
      <c r="K99" s="17" t="s">
        <v>2006</v>
      </c>
      <c r="L99" s="17"/>
    </row>
    <row r="100" spans="1:12" x14ac:dyDescent="0.25">
      <c r="A100" s="17" t="s">
        <v>2007</v>
      </c>
      <c r="B100" s="17" t="s">
        <v>2008</v>
      </c>
      <c r="C100" s="17"/>
      <c r="D100" s="17"/>
      <c r="E100" s="17" t="s">
        <v>2009</v>
      </c>
      <c r="F100" s="17"/>
      <c r="G100" s="17"/>
      <c r="H100" s="17" t="s">
        <v>2010</v>
      </c>
      <c r="I100" s="17"/>
      <c r="J100" s="17"/>
      <c r="K100" s="17" t="s">
        <v>2011</v>
      </c>
      <c r="L100" s="17"/>
    </row>
    <row r="101" spans="1:12" x14ac:dyDescent="0.25">
      <c r="A101" s="17" t="s">
        <v>2012</v>
      </c>
      <c r="B101" s="17" t="s">
        <v>2013</v>
      </c>
      <c r="C101" s="17"/>
      <c r="D101" s="17"/>
      <c r="E101" s="17" t="s">
        <v>2013</v>
      </c>
      <c r="F101" s="17"/>
      <c r="G101" s="17"/>
      <c r="H101" s="17" t="s">
        <v>2013</v>
      </c>
      <c r="I101" s="17"/>
      <c r="J101" s="17"/>
      <c r="K101" s="17" t="s">
        <v>2014</v>
      </c>
      <c r="L101" s="17"/>
    </row>
    <row r="102" spans="1:12" x14ac:dyDescent="0.25">
      <c r="A102" s="17" t="s">
        <v>2019</v>
      </c>
      <c r="B102" s="17" t="s">
        <v>2020</v>
      </c>
      <c r="C102" s="17"/>
      <c r="D102" s="17"/>
      <c r="E102" s="17" t="s">
        <v>2021</v>
      </c>
      <c r="F102" s="17"/>
      <c r="G102" s="17"/>
      <c r="H102" s="17" t="s">
        <v>2022</v>
      </c>
      <c r="I102" s="17"/>
      <c r="J102" s="17"/>
      <c r="K102" s="17" t="s">
        <v>2021</v>
      </c>
      <c r="L102" s="17"/>
    </row>
    <row r="103" spans="1:12" x14ac:dyDescent="0.25">
      <c r="I103" s="17"/>
      <c r="J103" s="17"/>
      <c r="K103" s="17"/>
      <c r="L103" s="17"/>
    </row>
    <row r="104" spans="1:12" x14ac:dyDescent="0.25">
      <c r="A104" s="17" t="s">
        <v>2015</v>
      </c>
      <c r="B104" s="17" t="s">
        <v>2016</v>
      </c>
      <c r="C104" s="17"/>
      <c r="D104" s="17"/>
      <c r="E104" s="17"/>
      <c r="F104" s="17"/>
      <c r="G104" s="17"/>
      <c r="H104" s="17"/>
      <c r="I104" s="17"/>
      <c r="J104" s="17"/>
      <c r="K104" s="17"/>
      <c r="L104" s="17"/>
    </row>
    <row r="105" spans="1:12" x14ac:dyDescent="0.25">
      <c r="A105" s="17" t="s">
        <v>2017</v>
      </c>
      <c r="B105" s="17" t="s">
        <v>2018</v>
      </c>
      <c r="C105" s="17"/>
      <c r="D105" s="17"/>
      <c r="E105" s="17"/>
      <c r="F105" s="17"/>
      <c r="G105" s="17"/>
      <c r="H105" s="17"/>
    </row>
    <row r="106" spans="1:12" x14ac:dyDescent="0.25">
      <c r="A106" s="17" t="s">
        <v>2023</v>
      </c>
      <c r="B106" s="17" t="s">
        <v>2024</v>
      </c>
      <c r="C106" s="17"/>
      <c r="D106" s="17"/>
      <c r="E106" s="17"/>
      <c r="F106" s="17"/>
      <c r="G106" s="17"/>
      <c r="H106" s="17"/>
      <c r="I106" s="17"/>
      <c r="J106" s="17"/>
      <c r="K106" s="17"/>
      <c r="L106" s="17"/>
    </row>
    <row r="107" spans="1:12" x14ac:dyDescent="0.25">
      <c r="A107" s="17"/>
      <c r="B107" s="17" t="s">
        <v>2025</v>
      </c>
      <c r="C107" s="17"/>
      <c r="D107" s="17"/>
      <c r="E107" s="17"/>
      <c r="F107" s="17"/>
      <c r="G107" s="17"/>
      <c r="H107" s="17"/>
      <c r="I107" s="17"/>
      <c r="J107" s="17"/>
      <c r="K107" s="17"/>
      <c r="L107" s="17"/>
    </row>
    <row r="108" spans="1:12" x14ac:dyDescent="0.25">
      <c r="A108" s="17" t="s">
        <v>2026</v>
      </c>
      <c r="B108" s="17"/>
      <c r="C108" s="17"/>
      <c r="D108" s="17"/>
      <c r="E108" s="17"/>
      <c r="F108" s="17"/>
      <c r="G108" s="17"/>
      <c r="H108" s="17"/>
      <c r="I108" s="17"/>
      <c r="J108" s="17"/>
      <c r="K108" s="17"/>
      <c r="L108" s="17"/>
    </row>
    <row r="110" spans="1:12" x14ac:dyDescent="0.25">
      <c r="A110" t="s">
        <v>2051</v>
      </c>
    </row>
    <row r="111" spans="1:12" x14ac:dyDescent="0.25">
      <c r="A111" s="161" t="s">
        <v>2029</v>
      </c>
      <c r="B111"/>
    </row>
    <row r="112" spans="1:12" x14ac:dyDescent="0.25">
      <c r="B112"/>
    </row>
    <row r="113" spans="1:3" x14ac:dyDescent="0.25">
      <c r="A113" s="160" t="s">
        <v>2030</v>
      </c>
      <c r="B113"/>
    </row>
    <row r="114" spans="1:3" x14ac:dyDescent="0.25">
      <c r="B114"/>
    </row>
    <row r="115" spans="1:3" x14ac:dyDescent="0.25">
      <c r="A115" s="160" t="s">
        <v>2031</v>
      </c>
      <c r="B115"/>
    </row>
    <row r="116" spans="1:3" x14ac:dyDescent="0.25">
      <c r="A116" s="160"/>
      <c r="B116"/>
    </row>
    <row r="117" spans="1:3" ht="30" x14ac:dyDescent="0.25">
      <c r="A117" s="173" t="s">
        <v>2032</v>
      </c>
      <c r="B117" s="173" t="s">
        <v>2032</v>
      </c>
      <c r="C117" s="173" t="s">
        <v>2035</v>
      </c>
    </row>
    <row r="118" spans="1:3" x14ac:dyDescent="0.25">
      <c r="A118" s="173" t="s">
        <v>2033</v>
      </c>
      <c r="B118" s="173" t="s">
        <v>2034</v>
      </c>
      <c r="C118" s="173" t="s">
        <v>2036</v>
      </c>
    </row>
    <row r="119" spans="1:3" x14ac:dyDescent="0.25">
      <c r="A119" s="172" t="s">
        <v>2037</v>
      </c>
      <c r="B119" s="181">
        <v>28800</v>
      </c>
      <c r="C119" s="172">
        <v>0.2</v>
      </c>
    </row>
    <row r="120" spans="1:3" x14ac:dyDescent="0.25">
      <c r="A120" s="172" t="s">
        <v>2038</v>
      </c>
      <c r="B120" s="181">
        <v>14400</v>
      </c>
      <c r="C120" s="172">
        <v>0.4</v>
      </c>
    </row>
    <row r="121" spans="1:3" x14ac:dyDescent="0.25">
      <c r="A121" s="172" t="s">
        <v>2039</v>
      </c>
      <c r="B121" s="181">
        <v>7200</v>
      </c>
      <c r="C121" s="172">
        <v>0.8</v>
      </c>
    </row>
    <row r="122" spans="1:3" x14ac:dyDescent="0.25">
      <c r="A122" s="172" t="s">
        <v>2040</v>
      </c>
      <c r="B122" s="181">
        <v>3600</v>
      </c>
      <c r="C122" s="172">
        <v>1.7</v>
      </c>
    </row>
    <row r="123" spans="1:3" x14ac:dyDescent="0.25">
      <c r="A123" s="172" t="s">
        <v>2041</v>
      </c>
      <c r="B123" s="181">
        <v>1800</v>
      </c>
      <c r="C123" s="172">
        <v>3.3</v>
      </c>
    </row>
    <row r="124" spans="1:3" x14ac:dyDescent="0.25">
      <c r="A124" s="172" t="s">
        <v>2042</v>
      </c>
      <c r="B124" s="172">
        <v>900</v>
      </c>
      <c r="C124" s="172">
        <v>6.7</v>
      </c>
    </row>
    <row r="125" spans="1:3" x14ac:dyDescent="0.25">
      <c r="A125" s="172" t="s">
        <v>2043</v>
      </c>
      <c r="B125" s="172">
        <v>600</v>
      </c>
      <c r="C125" s="172">
        <v>10</v>
      </c>
    </row>
    <row r="126" spans="1:3" x14ac:dyDescent="0.25">
      <c r="A126" s="172" t="s">
        <v>2044</v>
      </c>
      <c r="B126" s="172">
        <v>300</v>
      </c>
      <c r="C126" s="172">
        <v>20</v>
      </c>
    </row>
    <row r="127" spans="1:3" x14ac:dyDescent="0.25">
      <c r="A127" s="172" t="s">
        <v>2045</v>
      </c>
      <c r="B127" s="172">
        <v>60</v>
      </c>
      <c r="C127" s="172">
        <v>100</v>
      </c>
    </row>
    <row r="128" spans="1:3" x14ac:dyDescent="0.25">
      <c r="A128" s="172" t="s">
        <v>2046</v>
      </c>
      <c r="B128" s="172">
        <v>30</v>
      </c>
      <c r="C128" s="172">
        <v>200</v>
      </c>
    </row>
    <row r="129" spans="1:8" x14ac:dyDescent="0.25">
      <c r="A129" s="172" t="s">
        <v>2047</v>
      </c>
      <c r="B129" s="172">
        <v>10</v>
      </c>
      <c r="C129" s="172">
        <v>600</v>
      </c>
    </row>
    <row r="130" spans="1:8" x14ac:dyDescent="0.25">
      <c r="A130" s="172" t="s">
        <v>2048</v>
      </c>
      <c r="B130" s="172">
        <v>1</v>
      </c>
      <c r="C130" s="181">
        <v>6000</v>
      </c>
    </row>
    <row r="131" spans="1:8" x14ac:dyDescent="0.25">
      <c r="A131" s="172" t="s">
        <v>2049</v>
      </c>
      <c r="B131" s="172">
        <v>0.5</v>
      </c>
      <c r="C131" s="181">
        <v>12000</v>
      </c>
    </row>
    <row r="132" spans="1:8" x14ac:dyDescent="0.25">
      <c r="A132" s="172" t="s">
        <v>2050</v>
      </c>
      <c r="B132" s="172">
        <v>0.1</v>
      </c>
      <c r="C132" s="181">
        <v>60000</v>
      </c>
    </row>
    <row r="137" spans="1:8" x14ac:dyDescent="0.25">
      <c r="A137" t="s">
        <v>2055</v>
      </c>
    </row>
    <row r="138" spans="1:8" x14ac:dyDescent="0.25">
      <c r="B138" s="40" t="s">
        <v>2059</v>
      </c>
      <c r="F138" t="s">
        <v>2060</v>
      </c>
    </row>
    <row r="139" spans="1:8" x14ac:dyDescent="0.25">
      <c r="A139" s="180" t="s">
        <v>2058</v>
      </c>
      <c r="B139" s="182">
        <v>0.9</v>
      </c>
      <c r="C139" s="182">
        <v>0.99</v>
      </c>
      <c r="D139" s="183">
        <v>0.999</v>
      </c>
      <c r="F139" s="182">
        <v>0.9</v>
      </c>
      <c r="G139" s="182">
        <v>0.99</v>
      </c>
      <c r="H139" s="183">
        <v>0.999</v>
      </c>
    </row>
    <row r="140" spans="1:8" x14ac:dyDescent="0.25">
      <c r="A140" s="6" t="s">
        <v>2052</v>
      </c>
      <c r="B140" s="184">
        <v>0.56000000000000005</v>
      </c>
      <c r="C140" s="184">
        <v>1.1000000000000001</v>
      </c>
      <c r="D140" s="184">
        <v>1.7</v>
      </c>
      <c r="F140">
        <f>B140*1000</f>
        <v>560</v>
      </c>
      <c r="G140">
        <f t="shared" ref="G140:G142" si="14">C140*1000</f>
        <v>1100</v>
      </c>
      <c r="H140">
        <f t="shared" ref="H140:H142" si="15">D140*1000</f>
        <v>1700</v>
      </c>
    </row>
    <row r="141" spans="1:8" x14ac:dyDescent="0.25">
      <c r="A141" s="6" t="s">
        <v>2053</v>
      </c>
      <c r="B141" s="184">
        <v>0.39</v>
      </c>
      <c r="C141" s="184">
        <v>0.78</v>
      </c>
      <c r="D141" s="184">
        <v>1.2</v>
      </c>
      <c r="F141">
        <f t="shared" ref="F141:F142" si="16">B141*1000</f>
        <v>390</v>
      </c>
      <c r="G141">
        <f t="shared" si="14"/>
        <v>780</v>
      </c>
      <c r="H141">
        <f t="shared" si="15"/>
        <v>1200</v>
      </c>
    </row>
    <row r="142" spans="1:8" x14ac:dyDescent="0.25">
      <c r="A142" s="6" t="s">
        <v>2054</v>
      </c>
      <c r="B142" s="184">
        <v>1.3</v>
      </c>
      <c r="C142" s="184">
        <v>2.6</v>
      </c>
      <c r="D142" s="184">
        <v>1.8</v>
      </c>
      <c r="F142">
        <f t="shared" si="16"/>
        <v>1300</v>
      </c>
      <c r="G142">
        <f t="shared" si="14"/>
        <v>2600</v>
      </c>
      <c r="H142">
        <f t="shared" si="15"/>
        <v>1800</v>
      </c>
    </row>
    <row r="143" spans="1:8" x14ac:dyDescent="0.25">
      <c r="A143" s="6"/>
      <c r="B143" s="184"/>
      <c r="C143" s="184"/>
      <c r="D143" s="184"/>
    </row>
    <row r="144" spans="1:8" x14ac:dyDescent="0.25">
      <c r="A144" s="6"/>
      <c r="B144" s="184"/>
      <c r="C144" s="184"/>
      <c r="D144" s="184"/>
      <c r="F144" t="s">
        <v>2065</v>
      </c>
    </row>
    <row r="145" spans="1:18" x14ac:dyDescent="0.25">
      <c r="F145" s="182">
        <v>0.9</v>
      </c>
      <c r="G145" s="182">
        <v>0.99</v>
      </c>
      <c r="H145" s="183">
        <v>0.999</v>
      </c>
    </row>
    <row r="146" spans="1:18" x14ac:dyDescent="0.25">
      <c r="A146" s="6" t="s">
        <v>2052</v>
      </c>
      <c r="F146" s="184">
        <f>F140/(60*20)</f>
        <v>0.46666666666666667</v>
      </c>
      <c r="G146" s="184">
        <f t="shared" ref="G146:H146" si="17">G140/(60*20)</f>
        <v>0.91666666666666663</v>
      </c>
      <c r="H146" s="184">
        <f t="shared" si="17"/>
        <v>1.4166666666666667</v>
      </c>
    </row>
    <row r="147" spans="1:18" x14ac:dyDescent="0.25">
      <c r="A147" s="6" t="s">
        <v>2053</v>
      </c>
      <c r="F147" s="184">
        <f t="shared" ref="F147:H147" si="18">F141/(60*20)</f>
        <v>0.32500000000000001</v>
      </c>
      <c r="G147" s="184">
        <f t="shared" si="18"/>
        <v>0.65</v>
      </c>
      <c r="H147" s="184">
        <f t="shared" si="18"/>
        <v>1</v>
      </c>
    </row>
    <row r="148" spans="1:18" x14ac:dyDescent="0.25">
      <c r="A148" s="6" t="s">
        <v>2054</v>
      </c>
      <c r="F148" s="184">
        <f t="shared" ref="F148:H148" si="19">F142/(60*20)</f>
        <v>1.0833333333333333</v>
      </c>
      <c r="G148" s="184">
        <f t="shared" si="19"/>
        <v>2.1666666666666665</v>
      </c>
      <c r="H148" s="184">
        <f t="shared" si="19"/>
        <v>1.5</v>
      </c>
    </row>
    <row r="150" spans="1:18" x14ac:dyDescent="0.25">
      <c r="B150" s="40" t="s">
        <v>2063</v>
      </c>
      <c r="F150" t="s">
        <v>2062</v>
      </c>
    </row>
    <row r="151" spans="1:18" x14ac:dyDescent="0.25">
      <c r="A151" s="1" t="s">
        <v>2064</v>
      </c>
      <c r="B151" s="33">
        <v>3</v>
      </c>
      <c r="F151">
        <f>B151*1000/3600</f>
        <v>0.83333333333333337</v>
      </c>
    </row>
    <row r="153" spans="1:18" x14ac:dyDescent="0.25">
      <c r="A153" t="s">
        <v>2057</v>
      </c>
    </row>
    <row r="154" spans="1:18" x14ac:dyDescent="0.25">
      <c r="A154" t="s">
        <v>2056</v>
      </c>
    </row>
    <row r="155" spans="1:18" x14ac:dyDescent="0.25">
      <c r="A155" t="s">
        <v>2061</v>
      </c>
    </row>
    <row r="158" spans="1:18" ht="45" x14ac:dyDescent="0.25">
      <c r="A158" s="28" t="s">
        <v>1913</v>
      </c>
      <c r="B158" s="32" t="s">
        <v>1918</v>
      </c>
      <c r="C158" s="32" t="s">
        <v>1919</v>
      </c>
      <c r="D158" s="32"/>
      <c r="E158" s="32"/>
      <c r="F158" s="32"/>
      <c r="G158" s="173"/>
      <c r="H158" s="32"/>
      <c r="I158" s="173" t="s">
        <v>1934</v>
      </c>
      <c r="J158" s="32" t="s">
        <v>1386</v>
      </c>
      <c r="K158" s="32"/>
      <c r="L158" s="42" t="s">
        <v>1948</v>
      </c>
      <c r="M158" s="32"/>
      <c r="N158" s="32"/>
      <c r="O158" s="32"/>
      <c r="P158" s="32" t="s">
        <v>1942</v>
      </c>
      <c r="R158" t="s">
        <v>388</v>
      </c>
    </row>
    <row r="159" spans="1:18" x14ac:dyDescent="0.25">
      <c r="A159" t="s">
        <v>1914</v>
      </c>
      <c r="B159">
        <v>1</v>
      </c>
      <c r="C159" s="17" t="s">
        <v>2080</v>
      </c>
      <c r="D159"/>
      <c r="I159" t="s">
        <v>2081</v>
      </c>
      <c r="J159">
        <v>10</v>
      </c>
      <c r="L159" s="174">
        <v>1550</v>
      </c>
      <c r="P159" s="175">
        <f>L159*B159</f>
        <v>1550</v>
      </c>
      <c r="R159" t="s">
        <v>2082</v>
      </c>
    </row>
    <row r="160" spans="1:18" x14ac:dyDescent="0.25">
      <c r="A160" t="s">
        <v>562</v>
      </c>
      <c r="B160"/>
      <c r="C160" s="172"/>
      <c r="D160"/>
      <c r="L160" s="174"/>
      <c r="P160" s="175">
        <f t="shared" ref="P160:P169" si="20">L160*B160</f>
        <v>0</v>
      </c>
      <c r="R160" t="s">
        <v>2083</v>
      </c>
    </row>
    <row r="161" spans="1:18" x14ac:dyDescent="0.25">
      <c r="A161" t="s">
        <v>570</v>
      </c>
      <c r="B161">
        <v>1</v>
      </c>
      <c r="C161" s="17" t="s">
        <v>2080</v>
      </c>
      <c r="D161"/>
      <c r="I161" t="s">
        <v>2081</v>
      </c>
      <c r="J161">
        <v>10</v>
      </c>
      <c r="L161" s="174">
        <v>1550</v>
      </c>
      <c r="P161" s="175">
        <f>L161*B161</f>
        <v>1550</v>
      </c>
      <c r="R161" t="s">
        <v>2082</v>
      </c>
    </row>
    <row r="162" spans="1:18" x14ac:dyDescent="0.25">
      <c r="A162" t="s">
        <v>1916</v>
      </c>
      <c r="B162"/>
      <c r="C162" s="17"/>
      <c r="D162"/>
      <c r="L162" s="174"/>
      <c r="P162" s="175">
        <f t="shared" si="20"/>
        <v>0</v>
      </c>
      <c r="R162" t="s">
        <v>2083</v>
      </c>
    </row>
    <row r="163" spans="1:18" x14ac:dyDescent="0.25">
      <c r="A163" t="s">
        <v>1915</v>
      </c>
      <c r="B163"/>
      <c r="C163" s="172"/>
      <c r="D163"/>
      <c r="L163" s="174"/>
      <c r="P163" s="175">
        <f t="shared" si="20"/>
        <v>0</v>
      </c>
      <c r="R163" t="s">
        <v>2083</v>
      </c>
    </row>
    <row r="164" spans="1:18" x14ac:dyDescent="0.25">
      <c r="A164" t="s">
        <v>1915</v>
      </c>
      <c r="B164"/>
      <c r="C164" s="172"/>
      <c r="D164"/>
      <c r="L164" s="174"/>
      <c r="P164" s="175">
        <f t="shared" si="20"/>
        <v>0</v>
      </c>
      <c r="R164" t="s">
        <v>2083</v>
      </c>
    </row>
    <row r="165" spans="1:18" x14ac:dyDescent="0.25">
      <c r="A165" t="s">
        <v>1915</v>
      </c>
      <c r="B165"/>
      <c r="C165" s="172"/>
      <c r="D165"/>
      <c r="L165" s="174"/>
      <c r="P165" s="175">
        <f t="shared" si="20"/>
        <v>0</v>
      </c>
    </row>
    <row r="166" spans="1:18" x14ac:dyDescent="0.25">
      <c r="A166" t="s">
        <v>1915</v>
      </c>
      <c r="B166"/>
      <c r="C166" s="172"/>
      <c r="D166"/>
      <c r="L166" s="174"/>
      <c r="P166" s="175">
        <f t="shared" si="20"/>
        <v>0</v>
      </c>
    </row>
    <row r="167" spans="1:18" x14ac:dyDescent="0.25">
      <c r="A167" t="s">
        <v>411</v>
      </c>
      <c r="B167"/>
      <c r="C167" s="172"/>
      <c r="D167"/>
      <c r="L167" s="174"/>
      <c r="P167" s="175">
        <f t="shared" si="20"/>
        <v>0</v>
      </c>
    </row>
    <row r="168" spans="1:18" x14ac:dyDescent="0.25">
      <c r="A168" t="s">
        <v>411</v>
      </c>
      <c r="B168"/>
      <c r="C168" s="172"/>
      <c r="D168"/>
      <c r="L168" s="174"/>
      <c r="P168" s="175">
        <f t="shared" si="20"/>
        <v>0</v>
      </c>
    </row>
    <row r="169" spans="1:18" x14ac:dyDescent="0.25">
      <c r="A169" t="s">
        <v>1917</v>
      </c>
      <c r="B169"/>
      <c r="C169" s="172"/>
      <c r="D169"/>
      <c r="L169" s="174"/>
      <c r="P169" s="175">
        <f t="shared" si="20"/>
        <v>0</v>
      </c>
    </row>
    <row r="170" spans="1:18" ht="15.75" thickBot="1" x14ac:dyDescent="0.3">
      <c r="A170" t="s">
        <v>1965</v>
      </c>
      <c r="B170">
        <v>1</v>
      </c>
      <c r="C170" s="172"/>
      <c r="D170"/>
      <c r="L170" s="174">
        <v>200</v>
      </c>
      <c r="O170" s="176"/>
      <c r="P170" s="177">
        <f>B170*L170</f>
        <v>200</v>
      </c>
    </row>
    <row r="171" spans="1:18" x14ac:dyDescent="0.25">
      <c r="B171"/>
      <c r="D171"/>
      <c r="O171" t="s">
        <v>1942</v>
      </c>
      <c r="P171" s="175">
        <f>SUM(P159:P170)</f>
        <v>3300</v>
      </c>
    </row>
    <row r="172" spans="1:18" x14ac:dyDescent="0.25">
      <c r="A172" t="s">
        <v>2067</v>
      </c>
    </row>
    <row r="173" spans="1:18" x14ac:dyDescent="0.25">
      <c r="A173" t="s">
        <v>2068</v>
      </c>
    </row>
    <row r="174" spans="1:18" x14ac:dyDescent="0.25">
      <c r="A174" t="s">
        <v>2069</v>
      </c>
    </row>
    <row r="177" spans="1:16" x14ac:dyDescent="0.25">
      <c r="A177" s="28" t="s">
        <v>868</v>
      </c>
      <c r="B177" s="32" t="s">
        <v>1990</v>
      </c>
      <c r="C177" s="32" t="s">
        <v>1991</v>
      </c>
      <c r="D177" s="32"/>
      <c r="E177" s="32"/>
      <c r="F177" s="32"/>
      <c r="G177" s="32" t="s">
        <v>1992</v>
      </c>
      <c r="H177" s="32"/>
      <c r="I177" s="173" t="s">
        <v>1966</v>
      </c>
      <c r="J177" s="32" t="s">
        <v>1386</v>
      </c>
      <c r="K177" s="32"/>
      <c r="L177" s="42" t="s">
        <v>1967</v>
      </c>
      <c r="M177" s="32"/>
      <c r="N177" s="32"/>
      <c r="O177" s="32"/>
      <c r="P177" s="32" t="s">
        <v>1942</v>
      </c>
    </row>
    <row r="178" spans="1:16" x14ac:dyDescent="0.25">
      <c r="A178" t="s">
        <v>1949</v>
      </c>
      <c r="B178">
        <v>4</v>
      </c>
      <c r="C178" s="17" t="s">
        <v>2080</v>
      </c>
      <c r="D178"/>
      <c r="I178" t="s">
        <v>2081</v>
      </c>
      <c r="J178">
        <v>10</v>
      </c>
      <c r="L178" s="174">
        <v>1550</v>
      </c>
      <c r="P178" s="175">
        <f t="shared" ref="P178:P194" si="21">L178*B178</f>
        <v>6200</v>
      </c>
    </row>
    <row r="179" spans="1:16" x14ac:dyDescent="0.25">
      <c r="A179" t="s">
        <v>1950</v>
      </c>
      <c r="B179">
        <v>1</v>
      </c>
      <c r="C179" s="17" t="s">
        <v>2080</v>
      </c>
      <c r="D179"/>
      <c r="I179" t="s">
        <v>2081</v>
      </c>
      <c r="J179">
        <v>10</v>
      </c>
      <c r="L179" s="174">
        <v>1550</v>
      </c>
      <c r="P179" s="175">
        <f t="shared" si="21"/>
        <v>1550</v>
      </c>
    </row>
    <row r="180" spans="1:16" x14ac:dyDescent="0.25">
      <c r="A180" t="s">
        <v>1951</v>
      </c>
      <c r="B180">
        <v>1</v>
      </c>
      <c r="C180" s="17" t="s">
        <v>2080</v>
      </c>
      <c r="D180"/>
      <c r="I180" t="s">
        <v>2081</v>
      </c>
      <c r="J180">
        <v>10</v>
      </c>
      <c r="L180" s="174">
        <v>1550</v>
      </c>
      <c r="P180" s="175">
        <f t="shared" si="21"/>
        <v>1550</v>
      </c>
    </row>
    <row r="181" spans="1:16" x14ac:dyDescent="0.25">
      <c r="A181" t="s">
        <v>1952</v>
      </c>
      <c r="B181">
        <v>1</v>
      </c>
      <c r="C181" s="17" t="s">
        <v>2080</v>
      </c>
      <c r="D181"/>
      <c r="I181" t="s">
        <v>2081</v>
      </c>
      <c r="J181">
        <v>10</v>
      </c>
      <c r="L181" s="174">
        <v>1550</v>
      </c>
      <c r="P181" s="175">
        <f t="shared" si="21"/>
        <v>1550</v>
      </c>
    </row>
    <row r="182" spans="1:16" x14ac:dyDescent="0.25">
      <c r="A182" t="s">
        <v>249</v>
      </c>
      <c r="B182">
        <v>1</v>
      </c>
      <c r="C182" s="17" t="s">
        <v>2080</v>
      </c>
      <c r="D182"/>
      <c r="I182" t="s">
        <v>2081</v>
      </c>
      <c r="J182">
        <v>10</v>
      </c>
      <c r="L182" s="174">
        <v>1550</v>
      </c>
      <c r="P182" s="175">
        <f t="shared" si="21"/>
        <v>1550</v>
      </c>
    </row>
    <row r="183" spans="1:16" x14ac:dyDescent="0.25">
      <c r="A183" t="s">
        <v>1953</v>
      </c>
      <c r="B183">
        <v>1</v>
      </c>
      <c r="C183" s="17" t="s">
        <v>2080</v>
      </c>
      <c r="D183"/>
      <c r="I183" t="s">
        <v>2081</v>
      </c>
      <c r="J183">
        <v>10</v>
      </c>
      <c r="L183" s="174">
        <v>1550</v>
      </c>
      <c r="P183" s="175">
        <f t="shared" si="21"/>
        <v>1550</v>
      </c>
    </row>
    <row r="184" spans="1:16" x14ac:dyDescent="0.25">
      <c r="A184" t="s">
        <v>1954</v>
      </c>
      <c r="B184">
        <v>1</v>
      </c>
      <c r="C184" s="17" t="s">
        <v>2080</v>
      </c>
      <c r="D184"/>
      <c r="I184" t="s">
        <v>2081</v>
      </c>
      <c r="J184">
        <v>10</v>
      </c>
      <c r="L184" s="174">
        <v>1550</v>
      </c>
      <c r="P184" s="175">
        <f t="shared" si="21"/>
        <v>1550</v>
      </c>
    </row>
    <row r="185" spans="1:16" x14ac:dyDescent="0.25">
      <c r="A185" t="s">
        <v>1955</v>
      </c>
      <c r="B185">
        <v>1</v>
      </c>
      <c r="C185" s="17" t="s">
        <v>2080</v>
      </c>
      <c r="D185"/>
      <c r="I185" t="s">
        <v>2081</v>
      </c>
      <c r="J185">
        <v>10</v>
      </c>
      <c r="L185" s="174">
        <v>1550</v>
      </c>
      <c r="P185" s="175">
        <f t="shared" si="21"/>
        <v>1550</v>
      </c>
    </row>
    <row r="186" spans="1:16" x14ac:dyDescent="0.25">
      <c r="A186" t="s">
        <v>1956</v>
      </c>
      <c r="B186">
        <v>1</v>
      </c>
      <c r="C186" s="17" t="s">
        <v>2080</v>
      </c>
      <c r="D186"/>
      <c r="I186" t="s">
        <v>2081</v>
      </c>
      <c r="J186">
        <v>10</v>
      </c>
      <c r="L186" s="174">
        <v>1550</v>
      </c>
      <c r="P186" s="175">
        <f t="shared" si="21"/>
        <v>1550</v>
      </c>
    </row>
    <row r="187" spans="1:16" x14ac:dyDescent="0.25">
      <c r="A187" t="s">
        <v>1957</v>
      </c>
      <c r="B187">
        <v>2</v>
      </c>
      <c r="C187" s="17" t="s">
        <v>2080</v>
      </c>
      <c r="D187"/>
      <c r="I187" t="s">
        <v>2081</v>
      </c>
      <c r="J187">
        <v>10</v>
      </c>
      <c r="L187" s="174">
        <v>1550</v>
      </c>
      <c r="P187" s="175">
        <f t="shared" si="21"/>
        <v>3100</v>
      </c>
    </row>
    <row r="188" spans="1:16" x14ac:dyDescent="0.25">
      <c r="A188" t="s">
        <v>1958</v>
      </c>
      <c r="B188">
        <v>1</v>
      </c>
      <c r="C188" s="17" t="s">
        <v>2080</v>
      </c>
      <c r="D188"/>
      <c r="I188" t="s">
        <v>2081</v>
      </c>
      <c r="J188">
        <v>10</v>
      </c>
      <c r="L188" s="174">
        <v>1550</v>
      </c>
      <c r="P188" s="175">
        <f t="shared" si="21"/>
        <v>1550</v>
      </c>
    </row>
    <row r="189" spans="1:16" x14ac:dyDescent="0.25">
      <c r="A189" t="s">
        <v>1959</v>
      </c>
      <c r="B189">
        <v>1</v>
      </c>
      <c r="C189" s="17" t="s">
        <v>2080</v>
      </c>
      <c r="D189"/>
      <c r="I189" t="s">
        <v>2081</v>
      </c>
      <c r="J189">
        <v>10</v>
      </c>
      <c r="L189" s="174">
        <v>1550</v>
      </c>
      <c r="P189" s="175">
        <f t="shared" si="21"/>
        <v>1550</v>
      </c>
    </row>
    <row r="190" spans="1:16" x14ac:dyDescent="0.25">
      <c r="A190" t="s">
        <v>1960</v>
      </c>
      <c r="B190">
        <v>1</v>
      </c>
      <c r="C190" s="17" t="s">
        <v>2080</v>
      </c>
      <c r="D190"/>
      <c r="I190" t="s">
        <v>2081</v>
      </c>
      <c r="J190">
        <v>10</v>
      </c>
      <c r="L190" s="174">
        <v>1550</v>
      </c>
      <c r="P190" s="175">
        <f t="shared" si="21"/>
        <v>1550</v>
      </c>
    </row>
    <row r="191" spans="1:16" x14ac:dyDescent="0.25">
      <c r="A191" t="s">
        <v>1961</v>
      </c>
      <c r="B191">
        <v>1</v>
      </c>
      <c r="C191" s="17" t="s">
        <v>2080</v>
      </c>
      <c r="D191"/>
      <c r="I191" t="s">
        <v>2081</v>
      </c>
      <c r="J191">
        <v>10</v>
      </c>
      <c r="L191" s="174">
        <v>1550</v>
      </c>
      <c r="P191" s="175">
        <f t="shared" si="21"/>
        <v>1550</v>
      </c>
    </row>
    <row r="192" spans="1:16" x14ac:dyDescent="0.25">
      <c r="A192" t="s">
        <v>1962</v>
      </c>
      <c r="B192">
        <v>1</v>
      </c>
      <c r="C192" s="17" t="s">
        <v>2080</v>
      </c>
      <c r="D192"/>
      <c r="I192" t="s">
        <v>2081</v>
      </c>
      <c r="J192">
        <v>10</v>
      </c>
      <c r="L192" s="174">
        <v>1550</v>
      </c>
      <c r="P192" s="175">
        <f t="shared" si="21"/>
        <v>1550</v>
      </c>
    </row>
    <row r="193" spans="1:16" x14ac:dyDescent="0.25">
      <c r="A193" t="s">
        <v>1963</v>
      </c>
      <c r="B193">
        <v>2</v>
      </c>
      <c r="C193" s="17" t="s">
        <v>2080</v>
      </c>
      <c r="D193"/>
      <c r="I193" t="s">
        <v>2081</v>
      </c>
      <c r="J193">
        <v>10</v>
      </c>
      <c r="L193" s="174">
        <v>1550</v>
      </c>
      <c r="P193" s="175">
        <f t="shared" si="21"/>
        <v>3100</v>
      </c>
    </row>
    <row r="194" spans="1:16" ht="15.75" thickBot="1" x14ac:dyDescent="0.3">
      <c r="A194" t="s">
        <v>1965</v>
      </c>
      <c r="B194">
        <v>2</v>
      </c>
      <c r="D194"/>
      <c r="L194" s="174">
        <v>200</v>
      </c>
      <c r="O194" s="176"/>
      <c r="P194" s="177">
        <f t="shared" si="21"/>
        <v>400</v>
      </c>
    </row>
    <row r="195" spans="1:16" x14ac:dyDescent="0.25">
      <c r="B195"/>
      <c r="D195"/>
      <c r="O195" t="s">
        <v>1942</v>
      </c>
      <c r="P195" s="175">
        <f>SUM(P178:P194)</f>
        <v>32950</v>
      </c>
    </row>
    <row r="196" spans="1:16" x14ac:dyDescent="0.25">
      <c r="A196" t="s">
        <v>2067</v>
      </c>
    </row>
    <row r="197" spans="1:16" x14ac:dyDescent="0.25">
      <c r="A197" t="s">
        <v>2068</v>
      </c>
    </row>
    <row r="198" spans="1:16" x14ac:dyDescent="0.25">
      <c r="A198" t="s">
        <v>2069</v>
      </c>
    </row>
    <row r="200" spans="1:16" x14ac:dyDescent="0.25">
      <c r="A200" s="28" t="s">
        <v>1968</v>
      </c>
      <c r="B200" s="32"/>
      <c r="C200" s="28"/>
      <c r="D200" s="32"/>
      <c r="E200" s="28"/>
      <c r="F200" s="28"/>
      <c r="G200" s="28"/>
      <c r="K200" s="28" t="s">
        <v>2073</v>
      </c>
      <c r="L200" s="28" t="s">
        <v>2074</v>
      </c>
      <c r="O200" s="28" t="s">
        <v>2071</v>
      </c>
      <c r="P200" s="28" t="s">
        <v>388</v>
      </c>
    </row>
    <row r="201" spans="1:16" ht="45" x14ac:dyDescent="0.25">
      <c r="A201" s="19" t="s">
        <v>2079</v>
      </c>
      <c r="B201" s="185" t="s">
        <v>2070</v>
      </c>
      <c r="C201" s="185"/>
      <c r="D201" s="82"/>
      <c r="E201" s="185"/>
      <c r="F201" s="185"/>
      <c r="G201" s="185"/>
      <c r="H201" s="185"/>
      <c r="I201" s="185"/>
      <c r="J201" s="185"/>
      <c r="K201" s="185">
        <v>40</v>
      </c>
      <c r="L201" s="185" t="s">
        <v>2075</v>
      </c>
      <c r="M201" s="185"/>
      <c r="N201" s="185"/>
      <c r="O201" s="186">
        <v>3068</v>
      </c>
      <c r="P201" s="185" t="s">
        <v>2076</v>
      </c>
    </row>
    <row r="202" spans="1:16" ht="45" x14ac:dyDescent="0.25">
      <c r="A202" s="187" t="s">
        <v>2080</v>
      </c>
      <c r="B202" s="185" t="s">
        <v>2072</v>
      </c>
      <c r="C202" s="185"/>
      <c r="D202" s="82"/>
      <c r="E202" s="185"/>
      <c r="F202" s="185"/>
      <c r="G202" s="185"/>
      <c r="H202" s="185"/>
      <c r="I202" s="185"/>
      <c r="J202" s="185"/>
      <c r="K202" s="185">
        <v>10</v>
      </c>
      <c r="L202" s="185" t="s">
        <v>391</v>
      </c>
      <c r="M202" s="185"/>
      <c r="N202" s="185"/>
      <c r="O202" s="186">
        <v>1550</v>
      </c>
      <c r="P202" s="185" t="s">
        <v>2077</v>
      </c>
    </row>
    <row r="205" spans="1:16" x14ac:dyDescent="0.25">
      <c r="A205" t="s">
        <v>2160</v>
      </c>
    </row>
    <row r="206" spans="1:16" x14ac:dyDescent="0.25">
      <c r="A206" s="28" t="s">
        <v>2154</v>
      </c>
      <c r="B206" s="28" t="s">
        <v>1488</v>
      </c>
      <c r="C206" s="28" t="s">
        <v>2153</v>
      </c>
      <c r="D206" s="28" t="s">
        <v>2071</v>
      </c>
      <c r="E206" s="28" t="s">
        <v>388</v>
      </c>
    </row>
    <row r="207" spans="1:16" x14ac:dyDescent="0.25">
      <c r="A207" s="2" t="s">
        <v>243</v>
      </c>
      <c r="B207" s="213">
        <f>Schools!B9</f>
        <v>1698000000</v>
      </c>
      <c r="C207" s="212">
        <f>Schools!B31</f>
        <v>1.7647058823529411</v>
      </c>
      <c r="D207" s="211">
        <f>B207*C207</f>
        <v>2996470588.2352939</v>
      </c>
      <c r="E207" t="s">
        <v>2159</v>
      </c>
    </row>
    <row r="208" spans="1:16" ht="30" x14ac:dyDescent="0.25">
      <c r="A208" s="2" t="s">
        <v>2155</v>
      </c>
      <c r="B208" s="213">
        <v>4000000000</v>
      </c>
      <c r="C208" s="210">
        <f>C207</f>
        <v>1.7647058823529411</v>
      </c>
      <c r="D208" s="211">
        <f t="shared" ref="D208" si="22">B208*C208</f>
        <v>7058823529.4117641</v>
      </c>
      <c r="E208" t="s">
        <v>2158</v>
      </c>
    </row>
    <row r="209" spans="1:5" x14ac:dyDescent="0.25">
      <c r="A209" t="s">
        <v>353</v>
      </c>
      <c r="B209" s="213">
        <v>9500000000</v>
      </c>
      <c r="C209" s="210">
        <f t="shared" ref="C209:C210" si="23">C208</f>
        <v>1.7647058823529411</v>
      </c>
      <c r="D209" s="211">
        <f t="shared" ref="D209:D210" si="24">B209*C209</f>
        <v>16764705882.352942</v>
      </c>
      <c r="E209" t="s">
        <v>2161</v>
      </c>
    </row>
    <row r="210" spans="1:5" x14ac:dyDescent="0.25">
      <c r="A210" t="s">
        <v>2156</v>
      </c>
      <c r="B210" s="213">
        <v>13000000000</v>
      </c>
      <c r="C210" s="210">
        <f t="shared" si="23"/>
        <v>1.7647058823529411</v>
      </c>
      <c r="D210" s="211">
        <f t="shared" si="24"/>
        <v>22941176470.588234</v>
      </c>
      <c r="E210" t="s">
        <v>2157</v>
      </c>
    </row>
    <row r="211" spans="1:5" x14ac:dyDescent="0.25">
      <c r="B211" s="213"/>
      <c r="C211" s="210"/>
      <c r="D211" s="211"/>
    </row>
    <row r="212" spans="1:5" x14ac:dyDescent="0.25">
      <c r="A212" t="s">
        <v>2162</v>
      </c>
      <c r="B212" s="212"/>
    </row>
    <row r="213" spans="1:5" x14ac:dyDescent="0.25">
      <c r="B213" s="47"/>
    </row>
    <row r="214" spans="1:5" x14ac:dyDescent="0.25">
      <c r="A214" t="s">
        <v>2144</v>
      </c>
      <c r="B214" s="47"/>
    </row>
    <row r="215" spans="1:5" x14ac:dyDescent="0.25">
      <c r="A215" t="s">
        <v>2145</v>
      </c>
      <c r="B215" s="47"/>
    </row>
    <row r="216" spans="1:5" x14ac:dyDescent="0.25">
      <c r="B216" s="213"/>
    </row>
    <row r="217" spans="1:5" x14ac:dyDescent="0.25">
      <c r="A217" t="s">
        <v>2146</v>
      </c>
      <c r="B217" s="212"/>
    </row>
    <row r="218" spans="1:5" x14ac:dyDescent="0.25">
      <c r="A218" t="s">
        <v>2149</v>
      </c>
      <c r="B218" s="211"/>
    </row>
    <row r="219" spans="1:5" x14ac:dyDescent="0.25">
      <c r="A219" t="s">
        <v>2147</v>
      </c>
    </row>
    <row r="220" spans="1:5" x14ac:dyDescent="0.25">
      <c r="A220" t="s">
        <v>2150</v>
      </c>
    </row>
    <row r="221" spans="1:5" x14ac:dyDescent="0.25">
      <c r="A221" t="s">
        <v>2151</v>
      </c>
      <c r="B221" s="213"/>
    </row>
    <row r="222" spans="1:5" x14ac:dyDescent="0.25">
      <c r="B222" s="212"/>
    </row>
    <row r="223" spans="1:5" x14ac:dyDescent="0.25">
      <c r="A223" t="s">
        <v>2148</v>
      </c>
      <c r="B223" s="211"/>
    </row>
    <row r="225" spans="1:5" x14ac:dyDescent="0.25">
      <c r="A225" t="s">
        <v>2152</v>
      </c>
    </row>
    <row r="228" spans="1:5" x14ac:dyDescent="0.25">
      <c r="A228" t="s">
        <v>2163</v>
      </c>
      <c r="C228" t="s">
        <v>2184</v>
      </c>
      <c r="D228" s="33" t="s">
        <v>2185</v>
      </c>
    </row>
    <row r="229" spans="1:5" x14ac:dyDescent="0.25">
      <c r="A229" t="s">
        <v>2169</v>
      </c>
      <c r="C229" t="s">
        <v>272</v>
      </c>
      <c r="E229" s="13" t="s">
        <v>1937</v>
      </c>
    </row>
    <row r="230" spans="1:5" x14ac:dyDescent="0.25">
      <c r="A230" t="s">
        <v>2168</v>
      </c>
      <c r="C230" t="s">
        <v>272</v>
      </c>
      <c r="E230" s="13" t="s">
        <v>1980</v>
      </c>
    </row>
    <row r="231" spans="1:5" x14ac:dyDescent="0.25">
      <c r="A231" t="s">
        <v>2167</v>
      </c>
      <c r="C231" t="s">
        <v>272</v>
      </c>
      <c r="E231" s="13" t="s">
        <v>1982</v>
      </c>
    </row>
    <row r="232" spans="1:5" x14ac:dyDescent="0.25">
      <c r="A232" t="s">
        <v>2186</v>
      </c>
      <c r="C232" t="s">
        <v>272</v>
      </c>
      <c r="E232" s="13" t="s">
        <v>1986</v>
      </c>
    </row>
    <row r="233" spans="1:5" x14ac:dyDescent="0.25">
      <c r="A233" t="s">
        <v>2166</v>
      </c>
      <c r="C233" t="s">
        <v>272</v>
      </c>
      <c r="E233" s="13" t="s">
        <v>2027</v>
      </c>
    </row>
    <row r="234" spans="1:5" x14ac:dyDescent="0.25">
      <c r="A234" t="s">
        <v>2170</v>
      </c>
      <c r="C234" t="s">
        <v>272</v>
      </c>
      <c r="E234" s="13" t="s">
        <v>2171</v>
      </c>
    </row>
    <row r="235" spans="1:5" x14ac:dyDescent="0.25">
      <c r="A235" t="s">
        <v>2172</v>
      </c>
      <c r="C235" t="s">
        <v>272</v>
      </c>
      <c r="E235" s="13" t="s">
        <v>2067</v>
      </c>
    </row>
    <row r="236" spans="1:5" x14ac:dyDescent="0.25">
      <c r="A236" t="s">
        <v>2172</v>
      </c>
      <c r="C236" t="s">
        <v>272</v>
      </c>
      <c r="D236" s="33" t="s">
        <v>272</v>
      </c>
      <c r="E236" s="13" t="s">
        <v>2068</v>
      </c>
    </row>
    <row r="237" spans="1:5" x14ac:dyDescent="0.25">
      <c r="A237" t="s">
        <v>2172</v>
      </c>
      <c r="C237" t="s">
        <v>272</v>
      </c>
      <c r="E237" s="13" t="s">
        <v>2069</v>
      </c>
    </row>
    <row r="238" spans="1:5" x14ac:dyDescent="0.25">
      <c r="A238" t="s">
        <v>2173</v>
      </c>
      <c r="D238" s="33" t="s">
        <v>272</v>
      </c>
      <c r="E238" s="52" t="s">
        <v>2164</v>
      </c>
    </row>
    <row r="239" spans="1:5" x14ac:dyDescent="0.25">
      <c r="A239" t="s">
        <v>2174</v>
      </c>
      <c r="D239" s="33" t="s">
        <v>272</v>
      </c>
      <c r="E239" s="52" t="s">
        <v>2165</v>
      </c>
    </row>
    <row r="240" spans="1:5" x14ac:dyDescent="0.25">
      <c r="A240" t="s">
        <v>2175</v>
      </c>
      <c r="C240" t="s">
        <v>272</v>
      </c>
      <c r="E240" s="13" t="s">
        <v>2176</v>
      </c>
    </row>
    <row r="241" spans="1:5" x14ac:dyDescent="0.25">
      <c r="A241" t="s">
        <v>2177</v>
      </c>
      <c r="C241" t="s">
        <v>272</v>
      </c>
      <c r="E241" s="52" t="s">
        <v>2178</v>
      </c>
    </row>
    <row r="242" spans="1:5" x14ac:dyDescent="0.25">
      <c r="A242" t="s">
        <v>2177</v>
      </c>
      <c r="C242" t="s">
        <v>272</v>
      </c>
      <c r="E242" s="52" t="s">
        <v>2179</v>
      </c>
    </row>
    <row r="244" spans="1:5" x14ac:dyDescent="0.25">
      <c r="A244" t="s">
        <v>2180</v>
      </c>
      <c r="C244" t="s">
        <v>272</v>
      </c>
      <c r="E244" s="52" t="s">
        <v>2181</v>
      </c>
    </row>
    <row r="245" spans="1:5" x14ac:dyDescent="0.25">
      <c r="A245" t="s">
        <v>2182</v>
      </c>
      <c r="C245" t="s">
        <v>272</v>
      </c>
      <c r="E245" s="52" t="s">
        <v>2183</v>
      </c>
    </row>
  </sheetData>
  <hyperlinks>
    <hyperlink ref="E240" r:id="rId1" xr:uid="{4E8C3E4C-F00C-4F92-BC2F-0E35DBA02A94}"/>
    <hyperlink ref="E229" r:id="rId2" xr:uid="{3B0E9C2F-B0F1-4561-8D69-8A80418B0651}"/>
    <hyperlink ref="E230" r:id="rId3" xr:uid="{1989B8DD-EB37-4134-A449-395B69A58DE1}"/>
    <hyperlink ref="E231" r:id="rId4" xr:uid="{3EE25A8A-16FD-4722-B613-75A2ADB9212D}"/>
    <hyperlink ref="E232" r:id="rId5" xr:uid="{7FFA98E4-3011-4F8D-A86B-17E45BBE81D6}"/>
    <hyperlink ref="E233" r:id="rId6" xr:uid="{2E17FA10-3595-4EE7-A24F-349979C2C828}"/>
    <hyperlink ref="E234" r:id="rId7" xr:uid="{AB7677A4-91D2-47C1-8545-E5419A7B00E8}"/>
    <hyperlink ref="E235" r:id="rId8" xr:uid="{D1D10E52-AE49-4983-A502-672CA0EF9736}"/>
    <hyperlink ref="E236" r:id="rId9" xr:uid="{68354E1E-7218-41BF-B3D8-8B1CE2092F2F}"/>
    <hyperlink ref="E237" r:id="rId10" xr:uid="{0FDA8F56-6568-4B67-98B4-620517256206}"/>
    <hyperlink ref="E239" r:id="rId11" xr:uid="{9B946F9F-2688-4FC7-AC23-68365349D2BB}"/>
    <hyperlink ref="E241" r:id="rId12" xr:uid="{26DCD2C0-2FEB-4F04-8BFB-3430CCBB544E}"/>
    <hyperlink ref="E242" r:id="rId13" xr:uid="{C54BD119-B097-43DA-94F9-813EC9D49408}"/>
    <hyperlink ref="E244" r:id="rId14" xr:uid="{B030EA86-625D-4E07-A69A-509B0880F5F8}"/>
    <hyperlink ref="E245" r:id="rId15" xr:uid="{DF2CCD87-CB28-45D0-A64D-45BE21A427E4}"/>
    <hyperlink ref="E238" r:id="rId16" xr:uid="{860203F8-D799-4B14-8D5B-83BFFBEA91ED}"/>
  </hyperlinks>
  <pageMargins left="0.7" right="0.7" top="0.75" bottom="0.75" header="0.3" footer="0.3"/>
  <pageSetup orientation="portrait" horizontalDpi="0" verticalDpi="0" r:id="rId17"/>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A2F72-C0C8-4117-8181-2FD204481536}">
  <dimension ref="A2:E42"/>
  <sheetViews>
    <sheetView workbookViewId="0">
      <selection activeCell="A13" sqref="A13"/>
    </sheetView>
  </sheetViews>
  <sheetFormatPr defaultRowHeight="15" x14ac:dyDescent="0.25"/>
  <cols>
    <col min="1" max="1" width="12.140625" customWidth="1"/>
    <col min="2" max="2" width="9.7109375" bestFit="1" customWidth="1"/>
    <col min="3" max="3" width="10.7109375" customWidth="1"/>
    <col min="4" max="4" width="28.7109375" customWidth="1"/>
    <col min="5" max="5" width="11" customWidth="1"/>
  </cols>
  <sheetData>
    <row r="2" spans="1:4" x14ac:dyDescent="0.25">
      <c r="A2" t="s">
        <v>2187</v>
      </c>
    </row>
    <row r="4" spans="1:4" x14ac:dyDescent="0.25">
      <c r="A4" t="s">
        <v>2188</v>
      </c>
      <c r="B4" t="s">
        <v>2216</v>
      </c>
    </row>
    <row r="5" spans="1:4" x14ac:dyDescent="0.25">
      <c r="A5">
        <v>167</v>
      </c>
      <c r="B5">
        <v>30</v>
      </c>
      <c r="C5" t="s">
        <v>2189</v>
      </c>
    </row>
    <row r="6" spans="1:4" x14ac:dyDescent="0.25">
      <c r="A6">
        <v>158</v>
      </c>
      <c r="B6">
        <v>5</v>
      </c>
    </row>
    <row r="7" spans="1:4" x14ac:dyDescent="0.25">
      <c r="A7">
        <v>132</v>
      </c>
      <c r="B7">
        <v>30</v>
      </c>
      <c r="C7" t="s">
        <v>2190</v>
      </c>
    </row>
    <row r="9" spans="1:4" x14ac:dyDescent="0.25">
      <c r="A9" t="s">
        <v>2191</v>
      </c>
    </row>
    <row r="10" spans="1:4" x14ac:dyDescent="0.25">
      <c r="A10" t="s">
        <v>2188</v>
      </c>
      <c r="B10" t="s">
        <v>2216</v>
      </c>
    </row>
    <row r="11" spans="1:4" x14ac:dyDescent="0.25">
      <c r="A11">
        <v>170</v>
      </c>
      <c r="B11">
        <v>0</v>
      </c>
    </row>
    <row r="12" spans="1:4" x14ac:dyDescent="0.25">
      <c r="A12">
        <v>149</v>
      </c>
      <c r="B12">
        <v>3</v>
      </c>
    </row>
    <row r="13" spans="1:4" x14ac:dyDescent="0.25">
      <c r="A13">
        <v>131</v>
      </c>
      <c r="B13">
        <v>5</v>
      </c>
      <c r="C13">
        <v>131</v>
      </c>
    </row>
    <row r="14" spans="1:4" x14ac:dyDescent="0.25">
      <c r="A14">
        <v>122</v>
      </c>
      <c r="B14">
        <v>20</v>
      </c>
      <c r="C14" t="s">
        <v>2214</v>
      </c>
      <c r="D14" t="s">
        <v>2215</v>
      </c>
    </row>
    <row r="18" spans="1:5" ht="32.25" x14ac:dyDescent="0.25">
      <c r="A18" s="173" t="s">
        <v>2192</v>
      </c>
      <c r="B18" s="173" t="s">
        <v>2193</v>
      </c>
      <c r="C18" s="173" t="s">
        <v>2194</v>
      </c>
      <c r="D18" s="173" t="s">
        <v>1852</v>
      </c>
      <c r="E18" s="173" t="s">
        <v>389</v>
      </c>
    </row>
    <row r="19" spans="1:5" x14ac:dyDescent="0.25">
      <c r="A19" s="1" t="s">
        <v>2195</v>
      </c>
      <c r="B19" s="1">
        <v>10</v>
      </c>
      <c r="C19" s="1">
        <v>5</v>
      </c>
      <c r="D19" s="1" t="s">
        <v>2196</v>
      </c>
      <c r="E19" s="214">
        <v>9</v>
      </c>
    </row>
    <row r="20" spans="1:5" x14ac:dyDescent="0.25">
      <c r="A20" s="1" t="s">
        <v>2195</v>
      </c>
      <c r="B20" s="1">
        <v>20</v>
      </c>
      <c r="C20" s="1">
        <v>6</v>
      </c>
      <c r="D20" s="1" t="s">
        <v>2196</v>
      </c>
      <c r="E20" s="214">
        <v>9</v>
      </c>
    </row>
    <row r="21" spans="1:5" x14ac:dyDescent="0.25">
      <c r="A21" s="1" t="s">
        <v>2197</v>
      </c>
      <c r="B21" s="1">
        <v>3</v>
      </c>
      <c r="C21" s="1">
        <v>6</v>
      </c>
      <c r="D21" s="1" t="s">
        <v>2196</v>
      </c>
      <c r="E21" s="214">
        <v>9</v>
      </c>
    </row>
    <row r="22" spans="1:5" x14ac:dyDescent="0.25">
      <c r="A22" s="1" t="s">
        <v>2198</v>
      </c>
      <c r="B22" s="1">
        <v>15</v>
      </c>
      <c r="C22" s="1">
        <v>7</v>
      </c>
      <c r="D22" s="1" t="s">
        <v>2196</v>
      </c>
      <c r="E22" s="214">
        <v>9</v>
      </c>
    </row>
    <row r="23" spans="1:5" x14ac:dyDescent="0.25">
      <c r="A23" s="1" t="s">
        <v>2199</v>
      </c>
      <c r="B23" s="1">
        <v>120</v>
      </c>
      <c r="C23" s="1">
        <v>5</v>
      </c>
      <c r="D23" s="1" t="s">
        <v>2200</v>
      </c>
      <c r="E23" s="214">
        <v>10</v>
      </c>
    </row>
    <row r="24" spans="1:5" x14ac:dyDescent="0.25">
      <c r="A24" s="1" t="s">
        <v>2195</v>
      </c>
      <c r="B24" s="1">
        <v>60</v>
      </c>
      <c r="C24" s="1">
        <v>7</v>
      </c>
      <c r="D24" s="1" t="s">
        <v>2201</v>
      </c>
      <c r="E24" s="214">
        <v>11</v>
      </c>
    </row>
    <row r="25" spans="1:5" x14ac:dyDescent="0.25">
      <c r="A25" s="1" t="s">
        <v>2197</v>
      </c>
      <c r="B25" s="1">
        <v>40</v>
      </c>
      <c r="C25" s="1">
        <v>7</v>
      </c>
      <c r="D25" s="1" t="s">
        <v>2201</v>
      </c>
      <c r="E25" s="214">
        <v>11</v>
      </c>
    </row>
    <row r="26" spans="1:5" x14ac:dyDescent="0.25">
      <c r="A26" s="1" t="s">
        <v>2198</v>
      </c>
      <c r="B26" s="1">
        <v>15</v>
      </c>
      <c r="C26" s="1">
        <v>7</v>
      </c>
      <c r="D26" s="1" t="s">
        <v>2201</v>
      </c>
      <c r="E26" s="214">
        <v>11</v>
      </c>
    </row>
    <row r="27" spans="1:5" x14ac:dyDescent="0.25">
      <c r="A27" s="1" t="s">
        <v>2195</v>
      </c>
      <c r="B27" s="1">
        <v>50</v>
      </c>
      <c r="C27" s="1">
        <v>5</v>
      </c>
      <c r="D27" s="1" t="s">
        <v>2201</v>
      </c>
      <c r="E27" s="214">
        <v>11</v>
      </c>
    </row>
    <row r="28" spans="1:5" x14ac:dyDescent="0.25">
      <c r="A28" s="1" t="s">
        <v>2197</v>
      </c>
      <c r="B28" s="1">
        <v>5</v>
      </c>
      <c r="C28" s="1">
        <v>5</v>
      </c>
      <c r="D28" s="1" t="s">
        <v>2201</v>
      </c>
      <c r="E28" s="214">
        <v>11</v>
      </c>
    </row>
    <row r="29" spans="1:5" x14ac:dyDescent="0.25">
      <c r="A29" s="1" t="s">
        <v>2198</v>
      </c>
      <c r="B29" s="1">
        <v>4</v>
      </c>
      <c r="C29" s="1">
        <v>5</v>
      </c>
      <c r="D29" s="1" t="s">
        <v>2201</v>
      </c>
      <c r="E29" s="214">
        <v>11</v>
      </c>
    </row>
    <row r="30" spans="1:5" x14ac:dyDescent="0.25">
      <c r="A30" s="1" t="s">
        <v>2195</v>
      </c>
      <c r="B30" s="1">
        <v>30</v>
      </c>
      <c r="C30" s="1" t="s">
        <v>2202</v>
      </c>
      <c r="D30" s="1" t="s">
        <v>2203</v>
      </c>
      <c r="E30" s="214">
        <v>12</v>
      </c>
    </row>
    <row r="31" spans="1:5" x14ac:dyDescent="0.25">
      <c r="A31" s="1" t="s">
        <v>2204</v>
      </c>
      <c r="B31" s="1">
        <v>30</v>
      </c>
      <c r="C31" s="1">
        <v>1.9</v>
      </c>
      <c r="D31" s="1" t="s">
        <v>2205</v>
      </c>
      <c r="E31" s="214">
        <v>12</v>
      </c>
    </row>
    <row r="32" spans="1:5" x14ac:dyDescent="0.25">
      <c r="A32" s="1" t="s">
        <v>2206</v>
      </c>
      <c r="B32" s="1">
        <v>30</v>
      </c>
      <c r="C32" s="1" t="s">
        <v>2202</v>
      </c>
      <c r="D32" s="1" t="s">
        <v>2203</v>
      </c>
      <c r="E32" s="214">
        <v>12</v>
      </c>
    </row>
    <row r="33" spans="1:5" x14ac:dyDescent="0.25">
      <c r="A33" s="1" t="s">
        <v>2206</v>
      </c>
      <c r="B33" s="1">
        <v>30</v>
      </c>
      <c r="C33" s="1" t="s">
        <v>2202</v>
      </c>
      <c r="D33" s="1" t="s">
        <v>2205</v>
      </c>
      <c r="E33" s="214">
        <v>12</v>
      </c>
    </row>
    <row r="34" spans="1:5" x14ac:dyDescent="0.25">
      <c r="A34" s="1" t="s">
        <v>2195</v>
      </c>
      <c r="B34" s="1">
        <v>5</v>
      </c>
      <c r="C34" s="1">
        <v>5.8</v>
      </c>
      <c r="D34" s="1" t="s">
        <v>2207</v>
      </c>
      <c r="E34" s="214">
        <v>13</v>
      </c>
    </row>
    <row r="35" spans="1:5" x14ac:dyDescent="0.25">
      <c r="A35" s="1" t="s">
        <v>2195</v>
      </c>
      <c r="B35" s="1">
        <v>10</v>
      </c>
      <c r="C35" s="1">
        <v>6.5</v>
      </c>
      <c r="D35" s="1" t="s">
        <v>2207</v>
      </c>
      <c r="E35" s="214">
        <v>13</v>
      </c>
    </row>
    <row r="36" spans="1:5" x14ac:dyDescent="0.25">
      <c r="A36" s="1" t="s">
        <v>2195</v>
      </c>
      <c r="B36" s="1">
        <v>30</v>
      </c>
      <c r="C36" s="1" t="s">
        <v>2208</v>
      </c>
      <c r="D36" s="1" t="s">
        <v>2207</v>
      </c>
      <c r="E36" s="214">
        <v>13</v>
      </c>
    </row>
    <row r="37" spans="1:5" x14ac:dyDescent="0.25">
      <c r="A37" s="1" t="s">
        <v>2195</v>
      </c>
      <c r="B37" s="1">
        <v>30</v>
      </c>
      <c r="C37" s="1" t="s">
        <v>2209</v>
      </c>
      <c r="D37" s="1" t="s">
        <v>2210</v>
      </c>
      <c r="E37" s="214">
        <v>13</v>
      </c>
    </row>
    <row r="38" spans="1:5" x14ac:dyDescent="0.25">
      <c r="A38" s="1" t="s">
        <v>2195</v>
      </c>
      <c r="B38" s="1">
        <v>20</v>
      </c>
      <c r="C38" s="1" t="s">
        <v>2211</v>
      </c>
      <c r="D38" s="1" t="s">
        <v>2212</v>
      </c>
      <c r="E38" s="214">
        <v>13</v>
      </c>
    </row>
    <row r="39" spans="1:5" x14ac:dyDescent="0.25">
      <c r="A39" s="1" t="s">
        <v>2206</v>
      </c>
      <c r="B39" s="1">
        <v>30</v>
      </c>
      <c r="C39" s="1" t="s">
        <v>2202</v>
      </c>
      <c r="D39" s="1" t="s">
        <v>2210</v>
      </c>
      <c r="E39" s="214">
        <v>13</v>
      </c>
    </row>
    <row r="40" spans="1:5" x14ac:dyDescent="0.25">
      <c r="A40" s="1" t="s">
        <v>2206</v>
      </c>
      <c r="B40" s="1">
        <v>30</v>
      </c>
      <c r="C40" s="1" t="s">
        <v>2213</v>
      </c>
      <c r="D40" s="1" t="s">
        <v>2210</v>
      </c>
      <c r="E40" s="214">
        <v>13</v>
      </c>
    </row>
    <row r="41" spans="1:5" x14ac:dyDescent="0.25">
      <c r="A41" s="1" t="s">
        <v>2206</v>
      </c>
      <c r="B41" s="1">
        <v>60</v>
      </c>
      <c r="C41" s="1" t="s">
        <v>2213</v>
      </c>
      <c r="D41" s="1" t="s">
        <v>2210</v>
      </c>
      <c r="E41" s="214">
        <v>13</v>
      </c>
    </row>
    <row r="42" spans="1:5" x14ac:dyDescent="0.25">
      <c r="A42" s="1" t="s">
        <v>2197</v>
      </c>
      <c r="B42" s="1">
        <v>10</v>
      </c>
      <c r="C42" s="1" t="s">
        <v>2211</v>
      </c>
      <c r="D42" s="1" t="s">
        <v>2212</v>
      </c>
      <c r="E42" s="214">
        <v>13</v>
      </c>
    </row>
  </sheetData>
  <hyperlinks>
    <hyperlink ref="E19" r:id="rId1" location="rmv2115-bib-0009" display="https://onlinelibrary.wiley.com/doi/10.1002/rmv.2115 - rmv2115-bib-0009" xr:uid="{FDFB2511-6663-47B7-A2F4-1397CAEAB40C}"/>
    <hyperlink ref="E20" r:id="rId2" location="rmv2115-bib-0009" display="https://onlinelibrary.wiley.com/doi/10.1002/rmv.2115 - rmv2115-bib-0009" xr:uid="{DBE2CA89-993E-4821-AC23-C99E59F93BB5}"/>
    <hyperlink ref="E21" r:id="rId3" location="rmv2115-bib-0009" display="https://onlinelibrary.wiley.com/doi/10.1002/rmv.2115 - rmv2115-bib-0009" xr:uid="{913A8FE0-08CB-4A4C-8E42-764350CE0EFE}"/>
    <hyperlink ref="E22" r:id="rId4" location="rmv2115-bib-0009" display="https://onlinelibrary.wiley.com/doi/10.1002/rmv.2115 - rmv2115-bib-0009" xr:uid="{8401F1E4-9A93-4423-A8D8-2C6BE71D398B}"/>
    <hyperlink ref="E23" r:id="rId5" location="rmv2115-bib-0010" display="https://onlinelibrary.wiley.com/doi/10.1002/rmv.2115 - rmv2115-bib-0010" xr:uid="{BE4820A6-7F5D-47A2-BF0E-EC28C1C045C4}"/>
    <hyperlink ref="E24" r:id="rId6" location="rmv2115-bib-0011" display="https://onlinelibrary.wiley.com/doi/10.1002/rmv.2115 - rmv2115-bib-0011" xr:uid="{4FD5C76D-ACB2-47D6-AD7A-7C08395D2504}"/>
    <hyperlink ref="E25" r:id="rId7" location="rmv2115-bib-0011" display="https://onlinelibrary.wiley.com/doi/10.1002/rmv.2115 - rmv2115-bib-0011" xr:uid="{CACD0EEB-E65F-494B-A037-90FF49DBFB1A}"/>
    <hyperlink ref="E26" r:id="rId8" location="rmv2115-bib-0011" display="https://onlinelibrary.wiley.com/doi/10.1002/rmv.2115 - rmv2115-bib-0011" xr:uid="{022F80CC-101A-4050-BFF9-08ED558FA27A}"/>
    <hyperlink ref="E27" r:id="rId9" location="rmv2115-bib-0011" display="https://onlinelibrary.wiley.com/doi/10.1002/rmv.2115 - rmv2115-bib-0011" xr:uid="{13354C68-FAF8-4568-86BD-3507E450EA8E}"/>
    <hyperlink ref="E28" r:id="rId10" location="rmv2115-bib-0011" display="https://onlinelibrary.wiley.com/doi/10.1002/rmv.2115 - rmv2115-bib-0011" xr:uid="{8A909CC7-F9F3-4AC4-A08E-94EE86B14076}"/>
    <hyperlink ref="E29" r:id="rId11" location="rmv2115-bib-0011" display="https://onlinelibrary.wiley.com/doi/10.1002/rmv.2115 - rmv2115-bib-0011" xr:uid="{E8E03C90-F53D-4728-ACA4-A90814D72057}"/>
    <hyperlink ref="E30" r:id="rId12" location="rmv2115-bib-0012" display="https://onlinelibrary.wiley.com/doi/10.1002/rmv.2115 - rmv2115-bib-0012" xr:uid="{4E3A0E6C-B211-4DAC-8DBE-8964DDEFD487}"/>
    <hyperlink ref="E31" r:id="rId13" location="rmv2115-bib-0012" display="https://onlinelibrary.wiley.com/doi/10.1002/rmv.2115 - rmv2115-bib-0012" xr:uid="{83E6773F-A7F7-4406-9763-9749FBA9A065}"/>
    <hyperlink ref="E32" r:id="rId14" location="rmv2115-bib-0012" display="https://onlinelibrary.wiley.com/doi/10.1002/rmv.2115 - rmv2115-bib-0012" xr:uid="{9AF523E2-59BC-4DA5-B643-9211F59FAF24}"/>
    <hyperlink ref="E33" r:id="rId15" location="rmv2115-bib-0012" display="https://onlinelibrary.wiley.com/doi/10.1002/rmv.2115 - rmv2115-bib-0012" xr:uid="{E3FD4B5A-7DFD-41BE-984E-CF42C34E2A3B}"/>
    <hyperlink ref="E34" r:id="rId16" location="rmv2115-bib-0013" display="https://onlinelibrary.wiley.com/doi/10.1002/rmv.2115 - rmv2115-bib-0013" xr:uid="{386724CD-9BD6-4DB1-B612-71949326A051}"/>
    <hyperlink ref="E35" r:id="rId17" location="rmv2115-bib-0013" display="https://onlinelibrary.wiley.com/doi/10.1002/rmv.2115 - rmv2115-bib-0013" xr:uid="{57391F0A-A759-4EAD-8DDC-D60857315AC9}"/>
    <hyperlink ref="E36" r:id="rId18" location="rmv2115-bib-0013" display="https://onlinelibrary.wiley.com/doi/10.1002/rmv.2115 - rmv2115-bib-0013" xr:uid="{B48C4D28-1392-43F3-9637-C59EAF721003}"/>
    <hyperlink ref="E37" r:id="rId19" location="rmv2115-bib-0013" display="https://onlinelibrary.wiley.com/doi/10.1002/rmv.2115 - rmv2115-bib-0013" xr:uid="{C6657459-7F12-4338-99F1-286E6DB71ECA}"/>
    <hyperlink ref="E38" r:id="rId20" location="rmv2115-bib-0013" display="https://onlinelibrary.wiley.com/doi/10.1002/rmv.2115 - rmv2115-bib-0013" xr:uid="{E792E27B-D4DB-403A-84E1-6864E1A95CCE}"/>
    <hyperlink ref="E39" r:id="rId21" location="rmv2115-bib-0013" display="https://onlinelibrary.wiley.com/doi/10.1002/rmv.2115 - rmv2115-bib-0013" xr:uid="{8B2F57BE-6535-4BF2-BDBB-337E8C20D4B9}"/>
    <hyperlink ref="E40" r:id="rId22" location="rmv2115-bib-0013" display="https://onlinelibrary.wiley.com/doi/10.1002/rmv.2115 - rmv2115-bib-0013" xr:uid="{DAE22278-BC0C-41BB-AD7F-F9AEEF65489D}"/>
    <hyperlink ref="E41" r:id="rId23" location="rmv2115-bib-0013" display="https://onlinelibrary.wiley.com/doi/10.1002/rmv.2115 - rmv2115-bib-0013" xr:uid="{79D8C8D4-B84E-48CE-A2A6-68CCE266CBE3}"/>
    <hyperlink ref="E42" r:id="rId24" location="rmv2115-bib-0013" display="https://onlinelibrary.wiley.com/doi/10.1002/rmv.2115 - rmv2115-bib-0013" xr:uid="{882E5FC5-21EE-4094-A8C2-BA5045E9452C}"/>
  </hyperlinks>
  <pageMargins left="0.7" right="0.7" top="0.75" bottom="0.75" header="0.3" footer="0.3"/>
  <drawing r:id="rId2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6FCC3-5C77-4100-9070-9EDA99F96677}">
  <dimension ref="A2:E31"/>
  <sheetViews>
    <sheetView topLeftCell="A11" workbookViewId="0">
      <selection activeCell="A22" sqref="A22"/>
    </sheetView>
  </sheetViews>
  <sheetFormatPr defaultRowHeight="15" x14ac:dyDescent="0.25"/>
  <cols>
    <col min="1" max="1" width="31.85546875" bestFit="1" customWidth="1"/>
    <col min="5" max="5" width="10.140625" bestFit="1" customWidth="1"/>
  </cols>
  <sheetData>
    <row r="2" spans="1:2" x14ac:dyDescent="0.25">
      <c r="A2" s="28" t="s">
        <v>1911</v>
      </c>
    </row>
    <row r="3" spans="1:2" x14ac:dyDescent="0.25">
      <c r="A3" s="28"/>
    </row>
    <row r="4" spans="1:2" x14ac:dyDescent="0.25">
      <c r="A4" s="28" t="s">
        <v>867</v>
      </c>
    </row>
    <row r="5" spans="1:2" x14ac:dyDescent="0.25">
      <c r="A5" t="s">
        <v>858</v>
      </c>
      <c r="B5" s="29">
        <v>5700</v>
      </c>
    </row>
    <row r="6" spans="1:2" x14ac:dyDescent="0.25">
      <c r="A6" t="s">
        <v>857</v>
      </c>
      <c r="B6" s="30">
        <f>B5*60</f>
        <v>342000</v>
      </c>
    </row>
    <row r="7" spans="1:2" x14ac:dyDescent="0.25">
      <c r="A7" t="s">
        <v>859</v>
      </c>
      <c r="B7" s="28">
        <v>10</v>
      </c>
    </row>
    <row r="8" spans="1:2" x14ac:dyDescent="0.25">
      <c r="A8" t="s">
        <v>860</v>
      </c>
      <c r="B8" s="29">
        <v>2400</v>
      </c>
    </row>
    <row r="9" spans="1:2" x14ac:dyDescent="0.25">
      <c r="A9" t="s">
        <v>862</v>
      </c>
      <c r="B9" s="29">
        <f>B7*B8</f>
        <v>24000</v>
      </c>
    </row>
    <row r="10" spans="1:2" x14ac:dyDescent="0.25">
      <c r="A10" t="s">
        <v>861</v>
      </c>
      <c r="B10" s="46">
        <f>B6/B9</f>
        <v>14.25</v>
      </c>
    </row>
    <row r="11" spans="1:2" x14ac:dyDescent="0.25">
      <c r="A11" t="s">
        <v>863</v>
      </c>
      <c r="B11" s="46">
        <f>60/B10</f>
        <v>4.2105263157894735</v>
      </c>
    </row>
    <row r="13" spans="1:2" x14ac:dyDescent="0.25">
      <c r="A13" s="28" t="s">
        <v>866</v>
      </c>
    </row>
    <row r="14" spans="1:2" x14ac:dyDescent="0.25">
      <c r="A14" t="s">
        <v>864</v>
      </c>
      <c r="B14" s="29">
        <v>1600</v>
      </c>
    </row>
    <row r="15" spans="1:2" x14ac:dyDescent="0.25">
      <c r="A15" t="s">
        <v>865</v>
      </c>
      <c r="B15" s="30">
        <f>B14*60</f>
        <v>96000</v>
      </c>
    </row>
    <row r="16" spans="1:2" x14ac:dyDescent="0.25">
      <c r="A16" t="s">
        <v>859</v>
      </c>
      <c r="B16" s="28">
        <v>10</v>
      </c>
    </row>
    <row r="17" spans="1:5" x14ac:dyDescent="0.25">
      <c r="A17" t="s">
        <v>860</v>
      </c>
      <c r="B17" s="29">
        <v>2400</v>
      </c>
    </row>
    <row r="18" spans="1:5" x14ac:dyDescent="0.25">
      <c r="A18" t="s">
        <v>862</v>
      </c>
      <c r="B18" s="29">
        <f>B16*B17</f>
        <v>24000</v>
      </c>
    </row>
    <row r="19" spans="1:5" x14ac:dyDescent="0.25">
      <c r="A19" t="s">
        <v>861</v>
      </c>
      <c r="B19" s="46">
        <f>B15/B18</f>
        <v>4</v>
      </c>
    </row>
    <row r="20" spans="1:5" x14ac:dyDescent="0.25">
      <c r="A20" t="s">
        <v>863</v>
      </c>
      <c r="B20" s="46">
        <f>60/B19</f>
        <v>15</v>
      </c>
    </row>
    <row r="22" spans="1:5" x14ac:dyDescent="0.25">
      <c r="A22" s="28" t="s">
        <v>868</v>
      </c>
    </row>
    <row r="23" spans="1:5" x14ac:dyDescent="0.25">
      <c r="A23" t="s">
        <v>871</v>
      </c>
      <c r="B23" s="29">
        <v>53900</v>
      </c>
      <c r="C23" s="29">
        <v>53900</v>
      </c>
      <c r="D23" s="29">
        <v>53900</v>
      </c>
      <c r="E23" s="29">
        <v>53900</v>
      </c>
    </row>
    <row r="24" spans="1:5" x14ac:dyDescent="0.25">
      <c r="A24" t="s">
        <v>872</v>
      </c>
      <c r="B24" s="28">
        <v>1</v>
      </c>
      <c r="C24" s="28">
        <v>2</v>
      </c>
      <c r="D24" s="28">
        <v>3</v>
      </c>
      <c r="E24" s="28">
        <v>4</v>
      </c>
    </row>
    <row r="25" spans="1:5" x14ac:dyDescent="0.25">
      <c r="A25" t="s">
        <v>869</v>
      </c>
      <c r="B25" s="29">
        <f>B24*B23</f>
        <v>53900</v>
      </c>
      <c r="C25" s="29">
        <f t="shared" ref="C25:E25" si="0">C24*C23</f>
        <v>107800</v>
      </c>
      <c r="D25" s="29">
        <f t="shared" si="0"/>
        <v>161700</v>
      </c>
      <c r="E25" s="29">
        <f t="shared" si="0"/>
        <v>215600</v>
      </c>
    </row>
    <row r="26" spans="1:5" x14ac:dyDescent="0.25">
      <c r="A26" t="s">
        <v>870</v>
      </c>
      <c r="B26" s="30">
        <f>B25*60</f>
        <v>3234000</v>
      </c>
      <c r="C26" s="30">
        <f t="shared" ref="C26:E26" si="1">C25*60</f>
        <v>6468000</v>
      </c>
      <c r="D26" s="30">
        <f t="shared" si="1"/>
        <v>9702000</v>
      </c>
      <c r="E26" s="30">
        <f t="shared" si="1"/>
        <v>12936000</v>
      </c>
    </row>
    <row r="27" spans="1:5" x14ac:dyDescent="0.25">
      <c r="A27" t="s">
        <v>859</v>
      </c>
      <c r="B27" s="28">
        <v>10</v>
      </c>
      <c r="C27" s="28">
        <v>10</v>
      </c>
      <c r="D27" s="28">
        <v>10</v>
      </c>
      <c r="E27" s="28">
        <v>10</v>
      </c>
    </row>
    <row r="28" spans="1:5" x14ac:dyDescent="0.25">
      <c r="A28" t="s">
        <v>860</v>
      </c>
      <c r="B28" s="29">
        <v>12000</v>
      </c>
      <c r="C28" s="29">
        <v>12000</v>
      </c>
      <c r="D28" s="29">
        <v>12000</v>
      </c>
      <c r="E28" s="29">
        <v>12000</v>
      </c>
    </row>
    <row r="29" spans="1:5" x14ac:dyDescent="0.25">
      <c r="A29" t="s">
        <v>862</v>
      </c>
      <c r="B29" s="29">
        <f>B27*B28</f>
        <v>120000</v>
      </c>
      <c r="C29" s="29">
        <f t="shared" ref="C29:E29" si="2">C27*C28</f>
        <v>120000</v>
      </c>
      <c r="D29" s="29">
        <f t="shared" si="2"/>
        <v>120000</v>
      </c>
      <c r="E29" s="29">
        <f t="shared" si="2"/>
        <v>120000</v>
      </c>
    </row>
    <row r="30" spans="1:5" x14ac:dyDescent="0.25">
      <c r="A30" t="s">
        <v>861</v>
      </c>
      <c r="B30" s="46">
        <f>B26/B29</f>
        <v>26.95</v>
      </c>
      <c r="C30" s="53">
        <f t="shared" ref="C30:E30" si="3">C26/C29</f>
        <v>53.9</v>
      </c>
      <c r="D30" s="46">
        <f t="shared" si="3"/>
        <v>80.849999999999994</v>
      </c>
      <c r="E30" s="46">
        <f t="shared" si="3"/>
        <v>107.8</v>
      </c>
    </row>
    <row r="31" spans="1:5" x14ac:dyDescent="0.25">
      <c r="A31" t="s">
        <v>863</v>
      </c>
      <c r="B31" s="46">
        <f>60/B30</f>
        <v>2.2263450834879408</v>
      </c>
      <c r="C31" s="46">
        <f t="shared" ref="C31:E31" si="4">60/C30</f>
        <v>1.1131725417439704</v>
      </c>
      <c r="D31" s="46">
        <f t="shared" si="4"/>
        <v>0.7421150278293136</v>
      </c>
      <c r="E31" s="46">
        <f t="shared" si="4"/>
        <v>0.5565862708719852</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CF55-5FFA-4233-B059-401C5D773170}">
  <dimension ref="A1:Q44"/>
  <sheetViews>
    <sheetView workbookViewId="0"/>
  </sheetViews>
  <sheetFormatPr defaultRowHeight="15" x14ac:dyDescent="0.25"/>
  <cols>
    <col min="1" max="1" width="9.140625" style="50"/>
    <col min="2" max="2" width="3.85546875" style="50" bestFit="1" customWidth="1"/>
    <col min="3" max="3" width="14.140625" style="50" bestFit="1" customWidth="1"/>
    <col min="4" max="4" width="15.28515625" style="50" bestFit="1" customWidth="1"/>
    <col min="5" max="5" width="17" style="50" bestFit="1" customWidth="1"/>
    <col min="6" max="6" width="8" bestFit="1" customWidth="1"/>
    <col min="7" max="7" width="5" bestFit="1" customWidth="1"/>
    <col min="8" max="8" width="4.5703125" bestFit="1" customWidth="1"/>
    <col min="9" max="9" width="6.7109375" bestFit="1" customWidth="1"/>
    <col min="10" max="10" width="23.140625" bestFit="1" customWidth="1"/>
    <col min="11" max="11" width="8.140625" style="31" bestFit="1" customWidth="1"/>
  </cols>
  <sheetData>
    <row r="1" spans="1:17" x14ac:dyDescent="0.25">
      <c r="C1" s="52" t="s">
        <v>873</v>
      </c>
    </row>
    <row r="3" spans="1:17" x14ac:dyDescent="0.25">
      <c r="C3" s="50" t="s">
        <v>874</v>
      </c>
      <c r="F3" t="s">
        <v>875</v>
      </c>
      <c r="G3" t="s">
        <v>877</v>
      </c>
      <c r="H3" t="s">
        <v>878</v>
      </c>
      <c r="I3" t="s">
        <v>879</v>
      </c>
      <c r="J3" t="s">
        <v>881</v>
      </c>
      <c r="K3" s="31" t="s">
        <v>1259</v>
      </c>
    </row>
    <row r="4" spans="1:17" x14ac:dyDescent="0.25">
      <c r="C4" s="50" t="s">
        <v>882</v>
      </c>
      <c r="D4" s="50" t="s">
        <v>884</v>
      </c>
      <c r="E4" s="50" t="s">
        <v>885</v>
      </c>
      <c r="F4" t="s">
        <v>876</v>
      </c>
      <c r="I4" t="s">
        <v>880</v>
      </c>
      <c r="J4" t="s">
        <v>887</v>
      </c>
      <c r="L4" t="s">
        <v>888</v>
      </c>
      <c r="M4" t="s">
        <v>889</v>
      </c>
      <c r="N4" t="s">
        <v>890</v>
      </c>
      <c r="O4" t="s">
        <v>891</v>
      </c>
      <c r="P4" t="s">
        <v>892</v>
      </c>
      <c r="Q4" t="s">
        <v>893</v>
      </c>
    </row>
    <row r="5" spans="1:17" x14ac:dyDescent="0.25">
      <c r="C5" s="50" t="s">
        <v>883</v>
      </c>
      <c r="D5" s="50" t="s">
        <v>883</v>
      </c>
      <c r="E5" s="50" t="s">
        <v>886</v>
      </c>
    </row>
    <row r="6" spans="1:17" x14ac:dyDescent="0.25">
      <c r="A6" s="50" t="s">
        <v>894</v>
      </c>
      <c r="B6" s="50" t="s">
        <v>895</v>
      </c>
      <c r="C6" s="50" t="s">
        <v>896</v>
      </c>
      <c r="D6" s="50" t="s">
        <v>897</v>
      </c>
      <c r="E6" s="50" t="s">
        <v>290</v>
      </c>
      <c r="F6" t="s">
        <v>987</v>
      </c>
      <c r="G6" t="s">
        <v>988</v>
      </c>
      <c r="H6">
        <f>1/3</f>
        <v>0.33333333333333331</v>
      </c>
      <c r="I6" t="s">
        <v>989</v>
      </c>
      <c r="J6" t="s">
        <v>990</v>
      </c>
      <c r="K6" s="31">
        <f>H6*I6</f>
        <v>15</v>
      </c>
      <c r="L6" t="s">
        <v>991</v>
      </c>
      <c r="M6" t="s">
        <v>992</v>
      </c>
      <c r="N6" t="s">
        <v>290</v>
      </c>
      <c r="O6" t="s">
        <v>290</v>
      </c>
      <c r="P6" t="s">
        <v>290</v>
      </c>
      <c r="Q6" t="s">
        <v>290</v>
      </c>
    </row>
    <row r="7" spans="1:17" x14ac:dyDescent="0.25">
      <c r="C7" s="50" t="s">
        <v>898</v>
      </c>
      <c r="D7" s="50" t="s">
        <v>899</v>
      </c>
      <c r="E7" s="50" t="s">
        <v>290</v>
      </c>
      <c r="F7" t="s">
        <v>993</v>
      </c>
      <c r="G7" t="s">
        <v>994</v>
      </c>
      <c r="H7">
        <f t="shared" ref="H7:H10" si="0">1/3</f>
        <v>0.33333333333333331</v>
      </c>
      <c r="I7" t="s">
        <v>995</v>
      </c>
      <c r="J7" t="s">
        <v>996</v>
      </c>
      <c r="K7" s="31">
        <f t="shared" ref="K7:K44" si="1">H7*I7</f>
        <v>18.333333333333332</v>
      </c>
      <c r="L7" t="s">
        <v>997</v>
      </c>
      <c r="M7" t="s">
        <v>998</v>
      </c>
      <c r="N7" t="s">
        <v>999</v>
      </c>
      <c r="O7" t="s">
        <v>290</v>
      </c>
      <c r="P7" t="s">
        <v>290</v>
      </c>
      <c r="Q7" t="s">
        <v>290</v>
      </c>
    </row>
    <row r="8" spans="1:17" x14ac:dyDescent="0.25">
      <c r="B8" s="50" t="s">
        <v>900</v>
      </c>
      <c r="C8" s="50" t="s">
        <v>901</v>
      </c>
      <c r="D8" s="50" t="s">
        <v>902</v>
      </c>
      <c r="E8" s="50" t="s">
        <v>290</v>
      </c>
      <c r="F8" t="s">
        <v>1000</v>
      </c>
      <c r="G8" t="s">
        <v>988</v>
      </c>
      <c r="H8">
        <f t="shared" si="0"/>
        <v>0.33333333333333331</v>
      </c>
      <c r="I8" t="s">
        <v>1001</v>
      </c>
      <c r="J8" t="s">
        <v>996</v>
      </c>
      <c r="K8" s="31">
        <f t="shared" si="1"/>
        <v>16.333333333333332</v>
      </c>
      <c r="L8" t="s">
        <v>1002</v>
      </c>
      <c r="M8" t="s">
        <v>1003</v>
      </c>
      <c r="N8" t="s">
        <v>290</v>
      </c>
      <c r="O8" t="s">
        <v>290</v>
      </c>
      <c r="P8" t="s">
        <v>290</v>
      </c>
      <c r="Q8" t="s">
        <v>290</v>
      </c>
    </row>
    <row r="9" spans="1:17" x14ac:dyDescent="0.25">
      <c r="C9" s="50" t="s">
        <v>903</v>
      </c>
      <c r="D9" s="50" t="s">
        <v>904</v>
      </c>
      <c r="E9" s="50" t="s">
        <v>290</v>
      </c>
      <c r="F9" t="s">
        <v>993</v>
      </c>
      <c r="G9" t="s">
        <v>994</v>
      </c>
      <c r="H9">
        <f t="shared" si="0"/>
        <v>0.33333333333333331</v>
      </c>
      <c r="I9" t="s">
        <v>1004</v>
      </c>
      <c r="J9" t="s">
        <v>1005</v>
      </c>
      <c r="K9" s="31">
        <f t="shared" si="1"/>
        <v>19.333333333333332</v>
      </c>
      <c r="L9" t="s">
        <v>1006</v>
      </c>
      <c r="M9" t="s">
        <v>1007</v>
      </c>
      <c r="N9" t="s">
        <v>1008</v>
      </c>
      <c r="O9" t="s">
        <v>1009</v>
      </c>
      <c r="P9" t="s">
        <v>1010</v>
      </c>
      <c r="Q9" t="s">
        <v>290</v>
      </c>
    </row>
    <row r="10" spans="1:17" x14ac:dyDescent="0.25">
      <c r="B10" s="50" t="s">
        <v>905</v>
      </c>
      <c r="C10" s="50" t="s">
        <v>906</v>
      </c>
      <c r="D10" s="50" t="s">
        <v>907</v>
      </c>
      <c r="E10" s="50" t="s">
        <v>290</v>
      </c>
      <c r="F10" t="s">
        <v>1011</v>
      </c>
      <c r="G10" t="s">
        <v>988</v>
      </c>
      <c r="H10">
        <f t="shared" si="0"/>
        <v>0.33333333333333331</v>
      </c>
      <c r="I10" t="s">
        <v>1012</v>
      </c>
      <c r="J10" t="s">
        <v>1013</v>
      </c>
      <c r="K10" s="31">
        <f t="shared" si="1"/>
        <v>17.666666666666664</v>
      </c>
      <c r="L10" t="s">
        <v>1014</v>
      </c>
      <c r="M10" t="s">
        <v>1015</v>
      </c>
      <c r="N10" t="s">
        <v>1016</v>
      </c>
      <c r="O10" t="s">
        <v>290</v>
      </c>
      <c r="P10" t="s">
        <v>290</v>
      </c>
      <c r="Q10" t="s">
        <v>290</v>
      </c>
    </row>
    <row r="11" spans="1:17" x14ac:dyDescent="0.25">
      <c r="C11" s="50" t="s">
        <v>908</v>
      </c>
      <c r="D11" s="50" t="s">
        <v>909</v>
      </c>
      <c r="E11" s="50" t="s">
        <v>290</v>
      </c>
      <c r="F11" t="s">
        <v>1017</v>
      </c>
      <c r="G11" t="s">
        <v>994</v>
      </c>
      <c r="H11">
        <f>1/2</f>
        <v>0.5</v>
      </c>
      <c r="I11" t="s">
        <v>1018</v>
      </c>
      <c r="J11" t="s">
        <v>1019</v>
      </c>
      <c r="K11" s="31">
        <f t="shared" si="1"/>
        <v>31.5</v>
      </c>
      <c r="L11" t="s">
        <v>1020</v>
      </c>
      <c r="M11" t="s">
        <v>1021</v>
      </c>
      <c r="N11" t="s">
        <v>1022</v>
      </c>
      <c r="O11" t="s">
        <v>994</v>
      </c>
      <c r="P11" t="s">
        <v>1023</v>
      </c>
      <c r="Q11">
        <v>370</v>
      </c>
    </row>
    <row r="12" spans="1:17" x14ac:dyDescent="0.25">
      <c r="B12" s="50" t="s">
        <v>910</v>
      </c>
      <c r="C12" s="50" t="s">
        <v>911</v>
      </c>
      <c r="D12" s="50" t="s">
        <v>912</v>
      </c>
      <c r="E12" s="50" t="s">
        <v>290</v>
      </c>
      <c r="F12" t="s">
        <v>1024</v>
      </c>
      <c r="G12" t="s">
        <v>988</v>
      </c>
      <c r="H12">
        <f>1/3</f>
        <v>0.33333333333333331</v>
      </c>
      <c r="I12" t="s">
        <v>1025</v>
      </c>
      <c r="J12" t="s">
        <v>1026</v>
      </c>
      <c r="K12" s="31">
        <f t="shared" si="1"/>
        <v>19</v>
      </c>
      <c r="L12" t="s">
        <v>1027</v>
      </c>
      <c r="M12" t="s">
        <v>1028</v>
      </c>
      <c r="N12" t="s">
        <v>1029</v>
      </c>
      <c r="O12" t="s">
        <v>290</v>
      </c>
      <c r="P12" t="s">
        <v>290</v>
      </c>
      <c r="Q12" t="s">
        <v>290</v>
      </c>
    </row>
    <row r="13" spans="1:17" x14ac:dyDescent="0.25">
      <c r="C13" s="50" t="s">
        <v>913</v>
      </c>
      <c r="D13" s="50" t="s">
        <v>914</v>
      </c>
      <c r="E13" s="50" t="s">
        <v>290</v>
      </c>
      <c r="F13" t="s">
        <v>987</v>
      </c>
      <c r="G13" t="s">
        <v>994</v>
      </c>
      <c r="H13">
        <f>3/4</f>
        <v>0.75</v>
      </c>
      <c r="I13" t="s">
        <v>1030</v>
      </c>
      <c r="J13" t="s">
        <v>1031</v>
      </c>
      <c r="K13" s="31">
        <f t="shared" si="1"/>
        <v>50.25</v>
      </c>
      <c r="L13" t="s">
        <v>1032</v>
      </c>
      <c r="M13" t="s">
        <v>1033</v>
      </c>
      <c r="N13" t="s">
        <v>1034</v>
      </c>
      <c r="O13" t="s">
        <v>1035</v>
      </c>
      <c r="P13" t="s">
        <v>994</v>
      </c>
      <c r="Q13" t="s">
        <v>290</v>
      </c>
    </row>
    <row r="14" spans="1:17" x14ac:dyDescent="0.25">
      <c r="B14" s="50" t="s">
        <v>915</v>
      </c>
      <c r="C14" s="50" t="s">
        <v>916</v>
      </c>
      <c r="D14" s="50" t="s">
        <v>917</v>
      </c>
      <c r="E14" s="50" t="s">
        <v>290</v>
      </c>
      <c r="F14" t="s">
        <v>1036</v>
      </c>
      <c r="G14" t="s">
        <v>988</v>
      </c>
      <c r="H14">
        <f>1/3</f>
        <v>0.33333333333333331</v>
      </c>
      <c r="I14" t="s">
        <v>1037</v>
      </c>
      <c r="J14" t="s">
        <v>1038</v>
      </c>
      <c r="K14" s="31">
        <f t="shared" si="1"/>
        <v>20.666666666666664</v>
      </c>
      <c r="L14" t="s">
        <v>1039</v>
      </c>
      <c r="M14" t="s">
        <v>1020</v>
      </c>
      <c r="N14" t="s">
        <v>1040</v>
      </c>
      <c r="O14" t="s">
        <v>290</v>
      </c>
      <c r="P14" t="s">
        <v>290</v>
      </c>
      <c r="Q14" t="s">
        <v>290</v>
      </c>
    </row>
    <row r="15" spans="1:17" x14ac:dyDescent="0.25">
      <c r="C15" s="50" t="s">
        <v>918</v>
      </c>
      <c r="D15" s="50" t="s">
        <v>919</v>
      </c>
      <c r="E15" s="50" t="s">
        <v>290</v>
      </c>
      <c r="F15" t="s">
        <v>1041</v>
      </c>
      <c r="G15" t="s">
        <v>994</v>
      </c>
      <c r="H15" t="s">
        <v>1042</v>
      </c>
      <c r="I15" t="s">
        <v>1043</v>
      </c>
      <c r="J15" t="s">
        <v>1044</v>
      </c>
      <c r="K15" s="31">
        <f t="shared" si="1"/>
        <v>72</v>
      </c>
      <c r="L15" t="s">
        <v>1045</v>
      </c>
      <c r="M15" t="s">
        <v>1046</v>
      </c>
      <c r="N15" t="s">
        <v>1047</v>
      </c>
      <c r="O15" t="s">
        <v>1048</v>
      </c>
      <c r="P15" t="s">
        <v>1049</v>
      </c>
      <c r="Q15">
        <v>853</v>
      </c>
    </row>
    <row r="16" spans="1:17" x14ac:dyDescent="0.25">
      <c r="B16" s="50" t="s">
        <v>920</v>
      </c>
      <c r="C16" s="50" t="s">
        <v>921</v>
      </c>
      <c r="D16" s="50" t="s">
        <v>922</v>
      </c>
      <c r="E16" s="50" t="s">
        <v>290</v>
      </c>
      <c r="F16" t="s">
        <v>1050</v>
      </c>
      <c r="G16" t="s">
        <v>988</v>
      </c>
      <c r="H16">
        <f>1/2</f>
        <v>0.5</v>
      </c>
      <c r="I16" t="s">
        <v>1051</v>
      </c>
      <c r="J16" t="s">
        <v>1052</v>
      </c>
      <c r="K16" s="31">
        <f t="shared" si="1"/>
        <v>29.5</v>
      </c>
      <c r="L16" t="s">
        <v>1053</v>
      </c>
      <c r="M16" t="s">
        <v>1054</v>
      </c>
      <c r="N16" t="s">
        <v>1055</v>
      </c>
      <c r="O16" t="s">
        <v>1056</v>
      </c>
      <c r="P16" t="s">
        <v>290</v>
      </c>
      <c r="Q16" t="s">
        <v>290</v>
      </c>
    </row>
    <row r="17" spans="2:17" x14ac:dyDescent="0.25">
      <c r="C17" s="50" t="s">
        <v>923</v>
      </c>
      <c r="D17" s="50" t="s">
        <v>924</v>
      </c>
      <c r="E17" s="50" t="s">
        <v>290</v>
      </c>
      <c r="F17" t="s">
        <v>1057</v>
      </c>
      <c r="G17" t="s">
        <v>988</v>
      </c>
      <c r="H17" t="s">
        <v>1042</v>
      </c>
      <c r="I17" t="s">
        <v>1058</v>
      </c>
      <c r="J17" t="s">
        <v>1059</v>
      </c>
      <c r="K17" s="31">
        <f t="shared" si="1"/>
        <v>65</v>
      </c>
      <c r="L17" t="s">
        <v>1060</v>
      </c>
      <c r="M17" t="s">
        <v>1061</v>
      </c>
      <c r="N17" t="s">
        <v>1062</v>
      </c>
      <c r="O17" t="s">
        <v>1007</v>
      </c>
      <c r="P17" t="s">
        <v>1063</v>
      </c>
      <c r="Q17" t="s">
        <v>290</v>
      </c>
    </row>
    <row r="18" spans="2:17" x14ac:dyDescent="0.25">
      <c r="C18" s="50" t="s">
        <v>290</v>
      </c>
      <c r="D18" s="50" t="s">
        <v>925</v>
      </c>
      <c r="E18" s="50" t="s">
        <v>290</v>
      </c>
      <c r="F18" t="s">
        <v>1064</v>
      </c>
      <c r="G18" t="s">
        <v>988</v>
      </c>
      <c r="H18" t="s">
        <v>1065</v>
      </c>
      <c r="I18" t="s">
        <v>1030</v>
      </c>
      <c r="J18" t="s">
        <v>1066</v>
      </c>
      <c r="K18" s="31">
        <f t="shared" si="1"/>
        <v>100.5</v>
      </c>
      <c r="L18" t="s">
        <v>1067</v>
      </c>
      <c r="M18" t="s">
        <v>1068</v>
      </c>
      <c r="N18" t="s">
        <v>1069</v>
      </c>
      <c r="O18" t="s">
        <v>1070</v>
      </c>
      <c r="P18" t="s">
        <v>1071</v>
      </c>
      <c r="Q18" t="s">
        <v>290</v>
      </c>
    </row>
    <row r="19" spans="2:17" x14ac:dyDescent="0.25">
      <c r="C19" s="50" t="s">
        <v>926</v>
      </c>
      <c r="D19" s="50" t="s">
        <v>927</v>
      </c>
      <c r="E19" s="50" t="s">
        <v>290</v>
      </c>
      <c r="F19" t="s">
        <v>1072</v>
      </c>
      <c r="G19" t="s">
        <v>994</v>
      </c>
      <c r="H19" t="s">
        <v>1065</v>
      </c>
      <c r="I19" t="s">
        <v>1073</v>
      </c>
      <c r="J19" t="s">
        <v>1074</v>
      </c>
      <c r="K19" s="31">
        <f t="shared" si="1"/>
        <v>102</v>
      </c>
      <c r="L19" t="s">
        <v>1075</v>
      </c>
      <c r="M19" t="s">
        <v>1076</v>
      </c>
      <c r="N19" t="s">
        <v>1077</v>
      </c>
      <c r="O19" t="s">
        <v>1078</v>
      </c>
      <c r="P19" t="s">
        <v>1079</v>
      </c>
      <c r="Q19">
        <v>4020</v>
      </c>
    </row>
    <row r="20" spans="2:17" x14ac:dyDescent="0.25">
      <c r="C20" s="50" t="s">
        <v>928</v>
      </c>
      <c r="D20" s="50" t="s">
        <v>929</v>
      </c>
      <c r="E20" s="50" t="s">
        <v>290</v>
      </c>
      <c r="F20" t="s">
        <v>1080</v>
      </c>
      <c r="G20" t="s">
        <v>994</v>
      </c>
      <c r="H20" t="s">
        <v>1081</v>
      </c>
      <c r="I20" t="s">
        <v>1082</v>
      </c>
      <c r="J20" t="s">
        <v>1083</v>
      </c>
      <c r="K20" s="31">
        <f t="shared" si="1"/>
        <v>146</v>
      </c>
      <c r="L20" t="s">
        <v>1084</v>
      </c>
      <c r="M20" t="s">
        <v>1085</v>
      </c>
      <c r="N20" t="s">
        <v>1086</v>
      </c>
      <c r="O20" t="s">
        <v>1087</v>
      </c>
      <c r="P20" t="s">
        <v>1088</v>
      </c>
      <c r="Q20">
        <v>5540</v>
      </c>
    </row>
    <row r="21" spans="2:17" x14ac:dyDescent="0.25">
      <c r="C21" s="50" t="s">
        <v>930</v>
      </c>
      <c r="D21" s="50" t="s">
        <v>931</v>
      </c>
      <c r="E21" s="50" t="s">
        <v>290</v>
      </c>
      <c r="F21" t="s">
        <v>1057</v>
      </c>
      <c r="G21" t="s">
        <v>994</v>
      </c>
      <c r="H21" t="s">
        <v>1089</v>
      </c>
      <c r="I21" t="s">
        <v>1090</v>
      </c>
      <c r="J21" t="s">
        <v>1091</v>
      </c>
      <c r="K21" s="31">
        <f t="shared" si="1"/>
        <v>225</v>
      </c>
      <c r="L21" t="s">
        <v>1092</v>
      </c>
      <c r="M21" t="s">
        <v>1093</v>
      </c>
      <c r="N21" t="s">
        <v>1094</v>
      </c>
      <c r="O21" t="s">
        <v>1095</v>
      </c>
      <c r="P21" t="s">
        <v>1096</v>
      </c>
      <c r="Q21">
        <v>7540</v>
      </c>
    </row>
    <row r="22" spans="2:17" x14ac:dyDescent="0.25">
      <c r="B22" s="50" t="s">
        <v>932</v>
      </c>
      <c r="C22" s="50" t="s">
        <v>933</v>
      </c>
      <c r="D22" s="50" t="s">
        <v>934</v>
      </c>
      <c r="E22" s="50" t="s">
        <v>935</v>
      </c>
      <c r="F22" t="s">
        <v>1097</v>
      </c>
      <c r="G22" t="s">
        <v>988</v>
      </c>
      <c r="H22" t="s">
        <v>1042</v>
      </c>
      <c r="I22" t="s">
        <v>1058</v>
      </c>
      <c r="J22" t="s">
        <v>1096</v>
      </c>
      <c r="K22" s="31">
        <f t="shared" si="1"/>
        <v>65</v>
      </c>
      <c r="L22" t="s">
        <v>1098</v>
      </c>
      <c r="M22" t="s">
        <v>1099</v>
      </c>
      <c r="N22" t="s">
        <v>1100</v>
      </c>
      <c r="O22" t="s">
        <v>1101</v>
      </c>
      <c r="P22" t="s">
        <v>1102</v>
      </c>
      <c r="Q22" t="s">
        <v>290</v>
      </c>
    </row>
    <row r="23" spans="2:17" x14ac:dyDescent="0.25">
      <c r="C23" s="50" t="s">
        <v>290</v>
      </c>
      <c r="D23" s="50" t="s">
        <v>936</v>
      </c>
      <c r="E23" s="50" t="s">
        <v>937</v>
      </c>
      <c r="F23" t="s">
        <v>1103</v>
      </c>
      <c r="G23" t="s">
        <v>988</v>
      </c>
      <c r="H23" t="s">
        <v>1065</v>
      </c>
      <c r="I23" t="s">
        <v>1104</v>
      </c>
      <c r="J23" t="s">
        <v>1105</v>
      </c>
      <c r="K23" s="31">
        <f t="shared" si="1"/>
        <v>103.5</v>
      </c>
      <c r="L23" t="s">
        <v>1106</v>
      </c>
      <c r="M23" t="s">
        <v>1107</v>
      </c>
      <c r="N23" t="s">
        <v>1084</v>
      </c>
      <c r="O23" t="s">
        <v>1108</v>
      </c>
      <c r="P23" t="s">
        <v>1109</v>
      </c>
      <c r="Q23" t="s">
        <v>290</v>
      </c>
    </row>
    <row r="24" spans="2:17" x14ac:dyDescent="0.25">
      <c r="C24" s="50" t="s">
        <v>290</v>
      </c>
      <c r="D24" s="50" t="s">
        <v>938</v>
      </c>
      <c r="E24" s="50" t="s">
        <v>939</v>
      </c>
      <c r="F24" t="s">
        <v>1110</v>
      </c>
      <c r="G24" t="s">
        <v>988</v>
      </c>
      <c r="H24" t="s">
        <v>1081</v>
      </c>
      <c r="I24" t="s">
        <v>1111</v>
      </c>
      <c r="J24" t="s">
        <v>1112</v>
      </c>
      <c r="K24" s="31">
        <f t="shared" si="1"/>
        <v>140</v>
      </c>
      <c r="L24" t="s">
        <v>1113</v>
      </c>
      <c r="M24" t="s">
        <v>1114</v>
      </c>
      <c r="N24" t="s">
        <v>1115</v>
      </c>
      <c r="O24" t="s">
        <v>1116</v>
      </c>
      <c r="P24" t="s">
        <v>1117</v>
      </c>
      <c r="Q24" t="s">
        <v>290</v>
      </c>
    </row>
    <row r="25" spans="2:17" x14ac:dyDescent="0.25">
      <c r="C25" s="50" t="s">
        <v>940</v>
      </c>
      <c r="D25" s="50" t="s">
        <v>941</v>
      </c>
      <c r="E25" s="50" t="s">
        <v>942</v>
      </c>
      <c r="F25" t="s">
        <v>1118</v>
      </c>
      <c r="G25" t="s">
        <v>994</v>
      </c>
      <c r="H25" t="s">
        <v>1089</v>
      </c>
      <c r="I25" t="s">
        <v>1119</v>
      </c>
      <c r="J25" t="s">
        <v>1120</v>
      </c>
      <c r="K25" s="31">
        <f t="shared" si="1"/>
        <v>222</v>
      </c>
      <c r="L25" t="s">
        <v>1121</v>
      </c>
      <c r="M25" t="s">
        <v>1122</v>
      </c>
      <c r="N25" t="s">
        <v>1123</v>
      </c>
      <c r="O25" t="s">
        <v>1124</v>
      </c>
      <c r="P25" t="s">
        <v>1125</v>
      </c>
      <c r="Q25">
        <v>8830</v>
      </c>
    </row>
    <row r="26" spans="2:17" x14ac:dyDescent="0.25">
      <c r="D26" s="50" t="s">
        <v>943</v>
      </c>
      <c r="E26" s="50" t="s">
        <v>944</v>
      </c>
      <c r="F26" t="s">
        <v>1110</v>
      </c>
      <c r="G26" t="s">
        <v>994</v>
      </c>
      <c r="H26" t="s">
        <v>1126</v>
      </c>
      <c r="I26" t="s">
        <v>1127</v>
      </c>
      <c r="J26" t="s">
        <v>1128</v>
      </c>
      <c r="K26" s="31">
        <f t="shared" si="1"/>
        <v>390</v>
      </c>
      <c r="L26" t="s">
        <v>1129</v>
      </c>
      <c r="M26" t="s">
        <v>1130</v>
      </c>
      <c r="N26" t="s">
        <v>1131</v>
      </c>
      <c r="O26" t="s">
        <v>1132</v>
      </c>
      <c r="P26" t="s">
        <v>1133</v>
      </c>
      <c r="Q26">
        <v>13880</v>
      </c>
    </row>
    <row r="27" spans="2:17" x14ac:dyDescent="0.25">
      <c r="B27" s="50" t="s">
        <v>945</v>
      </c>
      <c r="C27" s="50" t="s">
        <v>290</v>
      </c>
      <c r="D27" s="51" t="s">
        <v>946</v>
      </c>
      <c r="E27" s="51" t="s">
        <v>947</v>
      </c>
      <c r="F27" s="28" t="s">
        <v>1134</v>
      </c>
      <c r="G27" s="28" t="s">
        <v>988</v>
      </c>
      <c r="H27" s="28" t="s">
        <v>1081</v>
      </c>
      <c r="I27" s="28" t="s">
        <v>1082</v>
      </c>
      <c r="J27" s="28" t="s">
        <v>1135</v>
      </c>
      <c r="K27" s="31">
        <f t="shared" si="1"/>
        <v>146</v>
      </c>
      <c r="L27" t="s">
        <v>1136</v>
      </c>
      <c r="M27" t="s">
        <v>1137</v>
      </c>
      <c r="N27" t="s">
        <v>1107</v>
      </c>
      <c r="O27" t="s">
        <v>1138</v>
      </c>
      <c r="P27" t="s">
        <v>1139</v>
      </c>
      <c r="Q27" t="s">
        <v>290</v>
      </c>
    </row>
    <row r="28" spans="2:17" x14ac:dyDescent="0.25">
      <c r="C28" s="50" t="s">
        <v>290</v>
      </c>
      <c r="D28" s="50" t="s">
        <v>948</v>
      </c>
      <c r="E28" s="50" t="s">
        <v>949</v>
      </c>
      <c r="F28" t="s">
        <v>1140</v>
      </c>
      <c r="G28" t="s">
        <v>988</v>
      </c>
      <c r="H28" t="s">
        <v>1089</v>
      </c>
      <c r="I28" t="s">
        <v>1119</v>
      </c>
      <c r="J28" t="s">
        <v>1141</v>
      </c>
      <c r="K28" s="31">
        <f t="shared" si="1"/>
        <v>222</v>
      </c>
      <c r="L28" t="s">
        <v>1142</v>
      </c>
      <c r="M28" t="s">
        <v>1143</v>
      </c>
      <c r="N28" t="s">
        <v>1144</v>
      </c>
      <c r="O28" t="s">
        <v>1145</v>
      </c>
      <c r="P28" t="s">
        <v>1146</v>
      </c>
      <c r="Q28">
        <v>6450</v>
      </c>
    </row>
    <row r="29" spans="2:17" x14ac:dyDescent="0.25">
      <c r="C29" s="50" t="s">
        <v>290</v>
      </c>
      <c r="D29" s="50" t="s">
        <v>950</v>
      </c>
      <c r="E29" s="50" t="s">
        <v>951</v>
      </c>
      <c r="F29" t="s">
        <v>1147</v>
      </c>
      <c r="G29" t="s">
        <v>988</v>
      </c>
      <c r="H29" t="s">
        <v>1126</v>
      </c>
      <c r="I29" t="s">
        <v>1148</v>
      </c>
      <c r="J29" t="s">
        <v>1149</v>
      </c>
      <c r="K29" s="31">
        <f t="shared" si="1"/>
        <v>380</v>
      </c>
      <c r="L29" t="s">
        <v>1150</v>
      </c>
      <c r="M29" t="s">
        <v>1151</v>
      </c>
      <c r="N29" t="s">
        <v>1152</v>
      </c>
      <c r="O29" t="s">
        <v>1153</v>
      </c>
      <c r="P29" t="s">
        <v>1123</v>
      </c>
      <c r="Q29">
        <v>9220</v>
      </c>
    </row>
    <row r="30" spans="2:17" x14ac:dyDescent="0.25">
      <c r="C30" s="50" t="s">
        <v>952</v>
      </c>
      <c r="D30" s="50" t="s">
        <v>953</v>
      </c>
      <c r="E30" s="50" t="s">
        <v>954</v>
      </c>
      <c r="F30" t="s">
        <v>1134</v>
      </c>
      <c r="G30" t="s">
        <v>994</v>
      </c>
      <c r="H30" t="s">
        <v>1126</v>
      </c>
      <c r="I30" t="s">
        <v>1090</v>
      </c>
      <c r="J30" t="s">
        <v>1154</v>
      </c>
      <c r="K30" s="31">
        <f t="shared" si="1"/>
        <v>375</v>
      </c>
      <c r="L30" t="s">
        <v>1155</v>
      </c>
      <c r="M30" t="s">
        <v>1132</v>
      </c>
      <c r="N30" t="s">
        <v>1156</v>
      </c>
      <c r="O30" t="s">
        <v>1157</v>
      </c>
      <c r="P30" t="s">
        <v>1158</v>
      </c>
      <c r="Q30">
        <v>11050</v>
      </c>
    </row>
    <row r="31" spans="2:17" x14ac:dyDescent="0.25">
      <c r="C31" s="50" t="s">
        <v>955</v>
      </c>
      <c r="D31" s="50" t="s">
        <v>956</v>
      </c>
      <c r="E31" s="50" t="s">
        <v>957</v>
      </c>
      <c r="F31" t="s">
        <v>1159</v>
      </c>
      <c r="G31" t="s">
        <v>994</v>
      </c>
      <c r="H31" t="s">
        <v>1160</v>
      </c>
      <c r="I31" t="s">
        <v>1161</v>
      </c>
      <c r="J31" t="s">
        <v>1162</v>
      </c>
      <c r="K31" s="31">
        <f t="shared" si="1"/>
        <v>615</v>
      </c>
      <c r="L31" t="s">
        <v>1163</v>
      </c>
      <c r="M31" t="s">
        <v>1164</v>
      </c>
      <c r="N31" t="s">
        <v>1141</v>
      </c>
      <c r="O31" t="s">
        <v>1165</v>
      </c>
      <c r="P31" t="s">
        <v>1166</v>
      </c>
      <c r="Q31">
        <v>15850</v>
      </c>
    </row>
    <row r="32" spans="2:17" x14ac:dyDescent="0.25">
      <c r="C32" s="50" t="s">
        <v>958</v>
      </c>
      <c r="D32" s="50" t="s">
        <v>959</v>
      </c>
      <c r="E32" s="50" t="s">
        <v>960</v>
      </c>
      <c r="F32" t="s">
        <v>1167</v>
      </c>
      <c r="G32" t="s">
        <v>994</v>
      </c>
      <c r="H32" t="s">
        <v>1168</v>
      </c>
      <c r="I32" t="s">
        <v>1169</v>
      </c>
      <c r="J32" t="s">
        <v>1170</v>
      </c>
      <c r="K32" s="31">
        <f t="shared" si="1"/>
        <v>830</v>
      </c>
      <c r="L32" t="s">
        <v>1171</v>
      </c>
      <c r="M32" t="s">
        <v>1172</v>
      </c>
      <c r="N32" t="s">
        <v>1173</v>
      </c>
      <c r="O32" t="s">
        <v>1174</v>
      </c>
      <c r="P32" t="s">
        <v>1175</v>
      </c>
      <c r="Q32">
        <v>23700</v>
      </c>
    </row>
    <row r="33" spans="2:17" x14ac:dyDescent="0.25">
      <c r="B33" s="50" t="s">
        <v>961</v>
      </c>
      <c r="C33" s="50" t="s">
        <v>290</v>
      </c>
      <c r="D33" s="50" t="s">
        <v>962</v>
      </c>
      <c r="E33" s="50" t="s">
        <v>963</v>
      </c>
      <c r="F33" t="s">
        <v>1176</v>
      </c>
      <c r="G33" t="s">
        <v>1177</v>
      </c>
      <c r="H33" t="s">
        <v>1081</v>
      </c>
      <c r="I33" t="s">
        <v>1111</v>
      </c>
      <c r="J33" t="s">
        <v>1178</v>
      </c>
      <c r="K33" s="31">
        <f t="shared" si="1"/>
        <v>140</v>
      </c>
      <c r="L33" t="s">
        <v>1179</v>
      </c>
      <c r="M33" t="s">
        <v>1180</v>
      </c>
      <c r="N33" t="s">
        <v>1137</v>
      </c>
      <c r="O33" t="s">
        <v>1181</v>
      </c>
      <c r="P33" t="s">
        <v>290</v>
      </c>
      <c r="Q33" t="s">
        <v>290</v>
      </c>
    </row>
    <row r="34" spans="2:17" x14ac:dyDescent="0.25">
      <c r="C34" s="50" t="s">
        <v>290</v>
      </c>
      <c r="D34" s="50" t="s">
        <v>964</v>
      </c>
      <c r="E34" s="50" t="s">
        <v>965</v>
      </c>
      <c r="F34" t="s">
        <v>1176</v>
      </c>
      <c r="G34" t="s">
        <v>1177</v>
      </c>
      <c r="H34" t="s">
        <v>1089</v>
      </c>
      <c r="I34" t="s">
        <v>1043</v>
      </c>
      <c r="J34" t="s">
        <v>1182</v>
      </c>
      <c r="K34" s="31">
        <f t="shared" si="1"/>
        <v>216</v>
      </c>
      <c r="L34" t="s">
        <v>1183</v>
      </c>
      <c r="M34" t="s">
        <v>1184</v>
      </c>
      <c r="N34" t="s">
        <v>1185</v>
      </c>
      <c r="O34" t="s">
        <v>1146</v>
      </c>
      <c r="P34" t="s">
        <v>1186</v>
      </c>
      <c r="Q34" t="s">
        <v>290</v>
      </c>
    </row>
    <row r="35" spans="2:17" x14ac:dyDescent="0.25">
      <c r="C35" s="50" t="s">
        <v>290</v>
      </c>
      <c r="D35" s="50" t="s">
        <v>966</v>
      </c>
      <c r="E35" s="50" t="s">
        <v>967</v>
      </c>
      <c r="F35" t="s">
        <v>1187</v>
      </c>
      <c r="G35" t="s">
        <v>1177</v>
      </c>
      <c r="H35" t="s">
        <v>1126</v>
      </c>
      <c r="I35" t="s">
        <v>1090</v>
      </c>
      <c r="J35" t="s">
        <v>1188</v>
      </c>
      <c r="K35" s="31">
        <f t="shared" si="1"/>
        <v>375</v>
      </c>
      <c r="L35" t="s">
        <v>1189</v>
      </c>
      <c r="M35" t="s">
        <v>1190</v>
      </c>
      <c r="N35" t="s">
        <v>1191</v>
      </c>
      <c r="O35" t="s">
        <v>1192</v>
      </c>
      <c r="P35" t="s">
        <v>1193</v>
      </c>
      <c r="Q35" t="s">
        <v>290</v>
      </c>
    </row>
    <row r="36" spans="2:17" x14ac:dyDescent="0.25">
      <c r="C36" s="50" t="s">
        <v>290</v>
      </c>
      <c r="D36" s="50" t="s">
        <v>968</v>
      </c>
      <c r="E36" s="50" t="s">
        <v>969</v>
      </c>
      <c r="F36" t="s">
        <v>1194</v>
      </c>
      <c r="G36" t="s">
        <v>988</v>
      </c>
      <c r="H36" t="s">
        <v>1126</v>
      </c>
      <c r="I36" t="s">
        <v>1148</v>
      </c>
      <c r="J36" t="s">
        <v>1195</v>
      </c>
      <c r="K36" s="31">
        <f t="shared" si="1"/>
        <v>380</v>
      </c>
      <c r="L36" t="s">
        <v>1196</v>
      </c>
      <c r="M36" t="s">
        <v>1197</v>
      </c>
      <c r="N36" t="s">
        <v>1198</v>
      </c>
      <c r="O36" t="s">
        <v>1199</v>
      </c>
      <c r="P36" t="s">
        <v>1156</v>
      </c>
      <c r="Q36">
        <v>10100</v>
      </c>
    </row>
    <row r="37" spans="2:17" x14ac:dyDescent="0.25">
      <c r="C37" s="50" t="s">
        <v>290</v>
      </c>
      <c r="D37" s="50" t="s">
        <v>970</v>
      </c>
      <c r="E37" s="50" t="s">
        <v>971</v>
      </c>
      <c r="F37" t="s">
        <v>1200</v>
      </c>
      <c r="G37" t="s">
        <v>988</v>
      </c>
      <c r="H37" t="s">
        <v>1160</v>
      </c>
      <c r="I37" t="s">
        <v>1127</v>
      </c>
      <c r="J37" t="s">
        <v>1201</v>
      </c>
      <c r="K37" s="31">
        <f t="shared" si="1"/>
        <v>585</v>
      </c>
      <c r="L37" t="s">
        <v>1202</v>
      </c>
      <c r="M37" t="s">
        <v>1203</v>
      </c>
      <c r="N37" t="s">
        <v>1204</v>
      </c>
      <c r="O37" t="s">
        <v>1205</v>
      </c>
      <c r="P37" t="s">
        <v>1206</v>
      </c>
      <c r="Q37">
        <v>12780</v>
      </c>
    </row>
    <row r="38" spans="2:17" x14ac:dyDescent="0.25">
      <c r="C38" s="50" t="s">
        <v>290</v>
      </c>
      <c r="D38" s="50" t="s">
        <v>972</v>
      </c>
      <c r="E38" s="50" t="s">
        <v>973</v>
      </c>
      <c r="F38" t="s">
        <v>1207</v>
      </c>
      <c r="G38" t="s">
        <v>994</v>
      </c>
      <c r="H38" t="s">
        <v>1168</v>
      </c>
      <c r="I38" t="s">
        <v>1169</v>
      </c>
      <c r="J38" t="s">
        <v>1208</v>
      </c>
      <c r="K38" s="31">
        <f t="shared" si="1"/>
        <v>830</v>
      </c>
      <c r="L38" t="s">
        <v>1209</v>
      </c>
      <c r="M38" t="s">
        <v>1210</v>
      </c>
      <c r="N38" t="s">
        <v>1211</v>
      </c>
      <c r="O38" t="s">
        <v>1212</v>
      </c>
      <c r="P38" t="s">
        <v>1198</v>
      </c>
      <c r="Q38">
        <v>19570</v>
      </c>
    </row>
    <row r="39" spans="2:17" x14ac:dyDescent="0.25">
      <c r="C39" s="50" t="s">
        <v>290</v>
      </c>
      <c r="D39" s="51" t="s">
        <v>974</v>
      </c>
      <c r="E39" s="51" t="s">
        <v>975</v>
      </c>
      <c r="F39" s="28" t="s">
        <v>1213</v>
      </c>
      <c r="G39" s="28" t="s">
        <v>994</v>
      </c>
      <c r="H39" s="28" t="s">
        <v>1214</v>
      </c>
      <c r="I39" s="28" t="s">
        <v>1215</v>
      </c>
      <c r="J39" s="28" t="s">
        <v>1216</v>
      </c>
      <c r="K39" s="31">
        <f t="shared" si="1"/>
        <v>1275</v>
      </c>
      <c r="L39" t="s">
        <v>1217</v>
      </c>
      <c r="M39" t="s">
        <v>1218</v>
      </c>
      <c r="N39" t="s">
        <v>1219</v>
      </c>
      <c r="O39" t="s">
        <v>1220</v>
      </c>
      <c r="P39" t="s">
        <v>1221</v>
      </c>
      <c r="Q39">
        <v>32040</v>
      </c>
    </row>
    <row r="40" spans="2:17" x14ac:dyDescent="0.25">
      <c r="B40" s="50" t="s">
        <v>976</v>
      </c>
      <c r="C40" s="50" t="s">
        <v>290</v>
      </c>
      <c r="D40" s="50" t="s">
        <v>977</v>
      </c>
      <c r="E40" s="50" t="s">
        <v>978</v>
      </c>
      <c r="F40" t="s">
        <v>1222</v>
      </c>
      <c r="G40" t="s">
        <v>1177</v>
      </c>
      <c r="H40" t="s">
        <v>1126</v>
      </c>
      <c r="I40" t="s">
        <v>1090</v>
      </c>
      <c r="J40" t="s">
        <v>1223</v>
      </c>
      <c r="K40" s="31">
        <f t="shared" si="1"/>
        <v>375</v>
      </c>
      <c r="L40" t="s">
        <v>1224</v>
      </c>
      <c r="M40" t="s">
        <v>1225</v>
      </c>
      <c r="N40" t="s">
        <v>1226</v>
      </c>
      <c r="O40" t="s">
        <v>1227</v>
      </c>
      <c r="P40" t="s">
        <v>1228</v>
      </c>
      <c r="Q40">
        <v>6740</v>
      </c>
    </row>
    <row r="41" spans="2:17" x14ac:dyDescent="0.25">
      <c r="C41" s="50" t="s">
        <v>290</v>
      </c>
      <c r="D41" s="50" t="s">
        <v>979</v>
      </c>
      <c r="E41" s="50" t="s">
        <v>980</v>
      </c>
      <c r="F41" t="s">
        <v>1229</v>
      </c>
      <c r="G41" t="s">
        <v>1177</v>
      </c>
      <c r="H41" t="s">
        <v>1160</v>
      </c>
      <c r="I41" t="s">
        <v>1230</v>
      </c>
      <c r="J41" t="s">
        <v>1231</v>
      </c>
      <c r="K41" s="31">
        <f t="shared" si="1"/>
        <v>577.5</v>
      </c>
      <c r="L41" t="s">
        <v>1232</v>
      </c>
      <c r="M41" t="s">
        <v>1233</v>
      </c>
      <c r="N41" t="s">
        <v>1234</v>
      </c>
      <c r="O41" t="s">
        <v>1235</v>
      </c>
      <c r="P41" t="s">
        <v>1236</v>
      </c>
      <c r="Q41">
        <v>8270</v>
      </c>
    </row>
    <row r="42" spans="2:17" x14ac:dyDescent="0.25">
      <c r="C42" s="50" t="s">
        <v>290</v>
      </c>
      <c r="D42" s="50" t="s">
        <v>981</v>
      </c>
      <c r="E42" s="50" t="s">
        <v>982</v>
      </c>
      <c r="F42" t="s">
        <v>1237</v>
      </c>
      <c r="G42" t="s">
        <v>988</v>
      </c>
      <c r="H42" t="s">
        <v>1168</v>
      </c>
      <c r="I42" t="s">
        <v>1238</v>
      </c>
      <c r="J42" t="s">
        <v>1239</v>
      </c>
      <c r="K42" s="31">
        <f t="shared" si="1"/>
        <v>810</v>
      </c>
      <c r="L42" t="s">
        <v>1240</v>
      </c>
      <c r="M42" t="s">
        <v>1241</v>
      </c>
      <c r="N42" t="s">
        <v>1242</v>
      </c>
      <c r="O42" t="s">
        <v>1243</v>
      </c>
      <c r="P42" t="s">
        <v>1244</v>
      </c>
      <c r="Q42">
        <v>26050</v>
      </c>
    </row>
    <row r="43" spans="2:17" x14ac:dyDescent="0.25">
      <c r="C43" s="50" t="s">
        <v>290</v>
      </c>
      <c r="D43" s="50" t="s">
        <v>983</v>
      </c>
      <c r="E43" s="50" t="s">
        <v>984</v>
      </c>
      <c r="F43" t="s">
        <v>1245</v>
      </c>
      <c r="G43" t="s">
        <v>988</v>
      </c>
      <c r="H43" t="s">
        <v>1214</v>
      </c>
      <c r="I43" t="s">
        <v>1169</v>
      </c>
      <c r="J43" t="s">
        <v>1246</v>
      </c>
      <c r="K43" s="31">
        <f t="shared" si="1"/>
        <v>1245</v>
      </c>
      <c r="L43" t="s">
        <v>1247</v>
      </c>
      <c r="M43" t="s">
        <v>1248</v>
      </c>
      <c r="N43" t="s">
        <v>1249</v>
      </c>
      <c r="O43" t="s">
        <v>1250</v>
      </c>
      <c r="P43" t="s">
        <v>1251</v>
      </c>
      <c r="Q43">
        <v>33490</v>
      </c>
    </row>
    <row r="44" spans="2:17" x14ac:dyDescent="0.25">
      <c r="C44" s="50" t="s">
        <v>290</v>
      </c>
      <c r="D44" s="51" t="s">
        <v>985</v>
      </c>
      <c r="E44" s="51" t="s">
        <v>986</v>
      </c>
      <c r="F44" s="28" t="s">
        <v>1252</v>
      </c>
      <c r="G44" s="28" t="s">
        <v>988</v>
      </c>
      <c r="H44" s="28" t="s">
        <v>1253</v>
      </c>
      <c r="I44" s="28" t="s">
        <v>1215</v>
      </c>
      <c r="J44" s="28" t="s">
        <v>1254</v>
      </c>
      <c r="K44" s="31">
        <f t="shared" si="1"/>
        <v>1700</v>
      </c>
      <c r="L44" t="s">
        <v>1255</v>
      </c>
      <c r="M44" t="s">
        <v>1256</v>
      </c>
      <c r="N44" t="s">
        <v>1257</v>
      </c>
      <c r="O44" t="s">
        <v>1258</v>
      </c>
      <c r="P44" t="s">
        <v>1249</v>
      </c>
      <c r="Q44">
        <v>37120</v>
      </c>
    </row>
  </sheetData>
  <hyperlinks>
    <hyperlink ref="C1" r:id="rId1" xr:uid="{0787ACCE-DCBC-4AAD-9BF9-90C8D46D018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1F8EA-5035-4F10-A4EA-EFD6D45DF12C}">
  <dimension ref="A1:T92"/>
  <sheetViews>
    <sheetView topLeftCell="E1" workbookViewId="0">
      <selection activeCell="S30" sqref="S30"/>
    </sheetView>
  </sheetViews>
  <sheetFormatPr defaultRowHeight="15" x14ac:dyDescent="0.25"/>
  <cols>
    <col min="1" max="1" width="22.140625" customWidth="1"/>
    <col min="2" max="2" width="9.140625" bestFit="1" customWidth="1"/>
    <col min="3" max="3" width="56.85546875" bestFit="1" customWidth="1"/>
    <col min="4" max="4" width="8.28515625" style="33" customWidth="1"/>
    <col min="5" max="5" width="8.5703125" bestFit="1" customWidth="1"/>
    <col min="6" max="6" width="9.140625" bestFit="1" customWidth="1"/>
    <col min="7" max="7" width="9.28515625" style="31" customWidth="1"/>
    <col min="8" max="8" width="9.140625" style="28"/>
    <col min="9" max="9" width="15.28515625" bestFit="1" customWidth="1"/>
    <col min="10" max="10" width="9.140625" style="28"/>
    <col min="11" max="11" width="8.85546875" customWidth="1"/>
    <col min="12" max="12" width="9" bestFit="1" customWidth="1"/>
    <col min="13" max="13" width="11.140625" bestFit="1" customWidth="1"/>
    <col min="14" max="14" width="13.85546875" bestFit="1" customWidth="1"/>
    <col min="15" max="15" width="8.28515625" bestFit="1" customWidth="1"/>
    <col min="16" max="16" width="8.28515625" style="33" customWidth="1"/>
    <col min="17" max="17" width="15.7109375" bestFit="1" customWidth="1"/>
    <col min="18" max="18" width="9.7109375" bestFit="1" customWidth="1"/>
    <col min="19" max="19" width="9.7109375" customWidth="1"/>
    <col min="20" max="20" width="14.5703125" customWidth="1"/>
  </cols>
  <sheetData>
    <row r="1" spans="1:5" x14ac:dyDescent="0.25">
      <c r="A1" s="31" t="s">
        <v>4547</v>
      </c>
    </row>
    <row r="2" spans="1:5" x14ac:dyDescent="0.25">
      <c r="A2" s="31" t="s">
        <v>4540</v>
      </c>
    </row>
    <row r="3" spans="1:5" ht="30" x14ac:dyDescent="0.25">
      <c r="A3" s="28"/>
      <c r="B3" s="355" t="s">
        <v>4544</v>
      </c>
      <c r="C3" s="28" t="s">
        <v>4545</v>
      </c>
      <c r="E3" s="28" t="s">
        <v>1464</v>
      </c>
    </row>
    <row r="4" spans="1:5" x14ac:dyDescent="0.25">
      <c r="B4" s="87">
        <v>1</v>
      </c>
      <c r="C4" t="s">
        <v>4548</v>
      </c>
      <c r="E4" s="28" t="s">
        <v>1450</v>
      </c>
    </row>
    <row r="5" spans="1:5" ht="15.75" x14ac:dyDescent="0.25">
      <c r="B5" s="30">
        <v>6</v>
      </c>
      <c r="C5" t="s">
        <v>4549</v>
      </c>
      <c r="E5" s="61" t="s">
        <v>1441</v>
      </c>
    </row>
    <row r="6" spans="1:5" ht="15.75" x14ac:dyDescent="0.25">
      <c r="B6" s="30">
        <v>7</v>
      </c>
      <c r="C6" t="s">
        <v>4550</v>
      </c>
      <c r="E6" s="61" t="s">
        <v>1443</v>
      </c>
    </row>
    <row r="7" spans="1:5" ht="15.75" x14ac:dyDescent="0.25">
      <c r="B7" s="30">
        <v>24</v>
      </c>
      <c r="C7" t="s">
        <v>4551</v>
      </c>
      <c r="E7" s="61" t="s">
        <v>1443</v>
      </c>
    </row>
    <row r="8" spans="1:5" ht="15.75" x14ac:dyDescent="0.25">
      <c r="B8" s="30">
        <v>27</v>
      </c>
      <c r="C8" t="s">
        <v>4552</v>
      </c>
      <c r="E8" s="61" t="s">
        <v>1444</v>
      </c>
    </row>
    <row r="9" spans="1:5" ht="15.75" x14ac:dyDescent="0.25">
      <c r="B9" s="30">
        <v>88</v>
      </c>
      <c r="C9" t="s">
        <v>4553</v>
      </c>
      <c r="E9" s="61" t="s">
        <v>1445</v>
      </c>
    </row>
    <row r="10" spans="1:5" ht="15.75" x14ac:dyDescent="0.25">
      <c r="B10" s="30">
        <v>92</v>
      </c>
      <c r="C10" t="s">
        <v>4554</v>
      </c>
      <c r="E10" s="61" t="s">
        <v>1442</v>
      </c>
    </row>
    <row r="11" spans="1:5" ht="15.75" x14ac:dyDescent="0.25">
      <c r="B11" s="30">
        <v>106</v>
      </c>
      <c r="C11" t="s">
        <v>4555</v>
      </c>
      <c r="E11" s="61" t="s">
        <v>1446</v>
      </c>
    </row>
    <row r="12" spans="1:5" ht="15.75" x14ac:dyDescent="0.25">
      <c r="B12" s="30">
        <v>107</v>
      </c>
      <c r="C12" t="s">
        <v>4573</v>
      </c>
      <c r="E12" s="61" t="s">
        <v>1446</v>
      </c>
    </row>
    <row r="13" spans="1:5" ht="15.75" x14ac:dyDescent="0.25">
      <c r="B13" s="30">
        <v>289</v>
      </c>
      <c r="C13" t="s">
        <v>4556</v>
      </c>
      <c r="E13" s="61" t="s">
        <v>1447</v>
      </c>
    </row>
    <row r="14" spans="1:5" ht="15.75" x14ac:dyDescent="0.25">
      <c r="B14" s="30">
        <v>543</v>
      </c>
      <c r="C14" t="s">
        <v>4574</v>
      </c>
      <c r="E14" s="61" t="s">
        <v>1448</v>
      </c>
    </row>
    <row r="15" spans="1:5" ht="15.75" x14ac:dyDescent="0.25">
      <c r="B15" s="30">
        <v>899</v>
      </c>
      <c r="C15" t="s">
        <v>4557</v>
      </c>
      <c r="E15" s="61" t="s">
        <v>1449</v>
      </c>
    </row>
    <row r="16" spans="1:5" x14ac:dyDescent="0.25">
      <c r="B16" s="30">
        <v>1128</v>
      </c>
      <c r="C16" t="s">
        <v>4558</v>
      </c>
    </row>
    <row r="17" spans="1:20" x14ac:dyDescent="0.25">
      <c r="B17" s="30">
        <v>1547</v>
      </c>
      <c r="C17" t="s">
        <v>4559</v>
      </c>
    </row>
    <row r="18" spans="1:20" x14ac:dyDescent="0.25">
      <c r="B18" s="30">
        <v>2535</v>
      </c>
      <c r="C18" t="s">
        <v>4560</v>
      </c>
    </row>
    <row r="19" spans="1:20" x14ac:dyDescent="0.25">
      <c r="B19" s="30">
        <v>3825</v>
      </c>
      <c r="C19" t="s">
        <v>4561</v>
      </c>
    </row>
    <row r="20" spans="1:20" x14ac:dyDescent="0.25">
      <c r="B20" s="30">
        <v>8248</v>
      </c>
      <c r="C20" t="s">
        <v>4562</v>
      </c>
    </row>
    <row r="21" spans="1:20" x14ac:dyDescent="0.25">
      <c r="B21" s="30">
        <v>8571</v>
      </c>
      <c r="C21" t="s">
        <v>4563</v>
      </c>
    </row>
    <row r="22" spans="1:20" x14ac:dyDescent="0.25">
      <c r="B22" s="30">
        <v>13394</v>
      </c>
      <c r="C22" t="s">
        <v>4564</v>
      </c>
    </row>
    <row r="23" spans="1:20" x14ac:dyDescent="0.25">
      <c r="B23" s="30">
        <v>29334</v>
      </c>
      <c r="C23" t="s">
        <v>4565</v>
      </c>
    </row>
    <row r="24" spans="1:20" x14ac:dyDescent="0.25">
      <c r="B24" s="30">
        <v>58669</v>
      </c>
      <c r="C24" t="s">
        <v>4566</v>
      </c>
    </row>
    <row r="25" spans="1:20" x14ac:dyDescent="0.25">
      <c r="B25" s="30">
        <v>59507</v>
      </c>
      <c r="C25" t="s">
        <v>4567</v>
      </c>
    </row>
    <row r="26" spans="1:20" x14ac:dyDescent="0.25">
      <c r="B26" s="30">
        <v>63113</v>
      </c>
      <c r="C26" t="s">
        <v>4568</v>
      </c>
    </row>
    <row r="27" spans="1:20" x14ac:dyDescent="0.25">
      <c r="B27" s="30">
        <v>86781</v>
      </c>
      <c r="C27" t="s">
        <v>4569</v>
      </c>
    </row>
    <row r="28" spans="1:20" x14ac:dyDescent="0.25">
      <c r="B28" s="30">
        <v>138849</v>
      </c>
      <c r="C28" t="s">
        <v>4575</v>
      </c>
    </row>
    <row r="29" spans="1:20" x14ac:dyDescent="0.25">
      <c r="S29" s="28">
        <v>0.02</v>
      </c>
      <c r="T29" t="s">
        <v>4591</v>
      </c>
    </row>
    <row r="30" spans="1:20" s="2" customFormat="1" ht="30" x14ac:dyDescent="0.25">
      <c r="A30" s="79" t="s">
        <v>1469</v>
      </c>
      <c r="B30" s="42" t="s">
        <v>4544</v>
      </c>
      <c r="C30" s="42" t="s">
        <v>3434</v>
      </c>
      <c r="D30" s="42" t="s">
        <v>275</v>
      </c>
      <c r="E30" s="42" t="s">
        <v>1776</v>
      </c>
      <c r="F30" s="42" t="s">
        <v>1476</v>
      </c>
      <c r="G30" s="86" t="s">
        <v>4546</v>
      </c>
      <c r="H30" s="42" t="s">
        <v>1460</v>
      </c>
      <c r="I30" s="42" t="s">
        <v>1470</v>
      </c>
      <c r="J30" s="42" t="s">
        <v>4578</v>
      </c>
      <c r="K30" s="42" t="s">
        <v>1456</v>
      </c>
      <c r="L30" s="42" t="s">
        <v>1475</v>
      </c>
      <c r="M30" s="42" t="s">
        <v>1453</v>
      </c>
      <c r="N30" s="42" t="s">
        <v>4579</v>
      </c>
      <c r="O30" s="42" t="s">
        <v>4580</v>
      </c>
      <c r="P30" s="42" t="s">
        <v>275</v>
      </c>
      <c r="Q30" s="42" t="s">
        <v>1455</v>
      </c>
      <c r="R30" s="42" t="s">
        <v>1495</v>
      </c>
      <c r="S30" s="42" t="s">
        <v>4592</v>
      </c>
      <c r="T30" s="42" t="s">
        <v>4581</v>
      </c>
    </row>
    <row r="31" spans="1:20" x14ac:dyDescent="0.25">
      <c r="A31" t="s">
        <v>3832</v>
      </c>
      <c r="B31" s="30">
        <f t="shared" ref="B31:B40" si="0">1/(S31)</f>
        <v>800.0307453502345</v>
      </c>
      <c r="C31" s="30" t="str">
        <f>VLOOKUP(B31,B$4:C$28, 2)</f>
        <v>10. Pedestrian incident</v>
      </c>
      <c r="D31" s="89" t="s">
        <v>1536</v>
      </c>
      <c r="E31" s="48">
        <v>1</v>
      </c>
      <c r="F31">
        <f t="shared" ref="F31:F40" si="1">L31/3600</f>
        <v>1</v>
      </c>
      <c r="G31" s="31">
        <v>2</v>
      </c>
      <c r="H31" s="29">
        <v>10800</v>
      </c>
      <c r="I31" s="30" t="s">
        <v>1471</v>
      </c>
      <c r="J31" s="28">
        <v>366</v>
      </c>
      <c r="K31" s="77">
        <f t="shared" ref="K31:K40" si="2">$H$78</f>
        <v>0.02</v>
      </c>
      <c r="L31" s="28">
        <v>3600</v>
      </c>
      <c r="M31" s="30">
        <f t="shared" ref="M31:M40" si="3">G31*J31*K31*L31</f>
        <v>52704</v>
      </c>
      <c r="N31" s="30">
        <f>T31*12*12*12/3600</f>
        <v>5184</v>
      </c>
      <c r="O31" s="77">
        <f>0.25*0.25</f>
        <v>6.25E-2</v>
      </c>
      <c r="P31" s="89" t="s">
        <v>1536</v>
      </c>
      <c r="Q31" s="76">
        <f>O31*(1-EXP(-M31/N31))</f>
        <v>6.2497598111821547E-2</v>
      </c>
      <c r="R31" s="34">
        <f t="shared" ref="R31:R40" si="4">Q31</f>
        <v>6.2497598111821547E-2</v>
      </c>
      <c r="S31" s="354">
        <f>R31*S$29</f>
        <v>1.249951962236431E-3</v>
      </c>
      <c r="T31" s="30">
        <f t="shared" ref="T31:T40" si="5">H31*E31</f>
        <v>10800</v>
      </c>
    </row>
    <row r="32" spans="1:20" x14ac:dyDescent="0.25">
      <c r="A32" t="s">
        <v>3832</v>
      </c>
      <c r="B32" s="30">
        <f t="shared" si="0"/>
        <v>804.99030434919416</v>
      </c>
      <c r="C32" s="30" t="str">
        <f t="shared" ref="C32:C40" si="6">VLOOKUP(B32,B$4:C$28, 2)</f>
        <v>10. Pedestrian incident</v>
      </c>
      <c r="D32" s="89" t="s">
        <v>1536</v>
      </c>
      <c r="E32" s="48">
        <v>1</v>
      </c>
      <c r="F32">
        <f t="shared" si="1"/>
        <v>1</v>
      </c>
      <c r="G32" s="31">
        <v>1</v>
      </c>
      <c r="H32" s="29">
        <v>10800</v>
      </c>
      <c r="I32" s="30" t="s">
        <v>1471</v>
      </c>
      <c r="J32" s="28">
        <v>366</v>
      </c>
      <c r="K32" s="77">
        <f t="shared" si="2"/>
        <v>0.02</v>
      </c>
      <c r="L32" s="28">
        <v>3600</v>
      </c>
      <c r="M32" s="30">
        <f t="shared" si="3"/>
        <v>26352</v>
      </c>
      <c r="N32" s="30">
        <f t="shared" ref="N32:N40" si="7">T32*12*12*12/3600</f>
        <v>5184</v>
      </c>
      <c r="O32" s="77">
        <f t="shared" ref="O32:O40" si="8">0.25*0.25</f>
        <v>6.25E-2</v>
      </c>
      <c r="P32" s="89" t="s">
        <v>1536</v>
      </c>
      <c r="Q32" s="76">
        <f>O32*(1-EXP(-M32/N32))</f>
        <v>6.2112549343588938E-2</v>
      </c>
      <c r="R32" s="34">
        <f t="shared" si="4"/>
        <v>6.2112549343588938E-2</v>
      </c>
      <c r="S32" s="354">
        <f t="shared" ref="S32:S40" si="9">R32*S$29</f>
        <v>1.2422509868717788E-3</v>
      </c>
      <c r="T32" s="30">
        <f t="shared" si="5"/>
        <v>10800</v>
      </c>
    </row>
    <row r="33" spans="1:20" x14ac:dyDescent="0.25">
      <c r="A33" t="s">
        <v>3832</v>
      </c>
      <c r="B33" s="30">
        <f t="shared" si="0"/>
        <v>1112.0342430328112</v>
      </c>
      <c r="C33" s="30" t="str">
        <f t="shared" si="6"/>
        <v>11. Motorcyclist</v>
      </c>
      <c r="D33" s="89" t="s">
        <v>1536</v>
      </c>
      <c r="E33" s="48">
        <v>4</v>
      </c>
      <c r="F33">
        <f t="shared" si="1"/>
        <v>1</v>
      </c>
      <c r="G33" s="31">
        <v>1</v>
      </c>
      <c r="H33" s="29">
        <v>10800</v>
      </c>
      <c r="I33" s="30" t="s">
        <v>1472</v>
      </c>
      <c r="J33" s="28">
        <v>366</v>
      </c>
      <c r="K33" s="77">
        <f t="shared" si="2"/>
        <v>0.02</v>
      </c>
      <c r="L33" s="28">
        <v>3600</v>
      </c>
      <c r="M33" s="30">
        <f t="shared" si="3"/>
        <v>26352</v>
      </c>
      <c r="N33" s="30">
        <f t="shared" si="7"/>
        <v>20736</v>
      </c>
      <c r="O33" s="77">
        <f t="shared" si="8"/>
        <v>6.25E-2</v>
      </c>
      <c r="P33" s="89" t="s">
        <v>1536</v>
      </c>
      <c r="Q33" s="76">
        <f>O33*(1-EXP(-M33/N33))</f>
        <v>4.4962644193075198E-2</v>
      </c>
      <c r="R33" s="34">
        <f t="shared" si="4"/>
        <v>4.4962644193075198E-2</v>
      </c>
      <c r="S33" s="354">
        <f t="shared" si="9"/>
        <v>8.9925288386150397E-4</v>
      </c>
      <c r="T33" s="30">
        <f t="shared" si="5"/>
        <v>43200</v>
      </c>
    </row>
    <row r="34" spans="1:20" x14ac:dyDescent="0.25">
      <c r="A34" t="s">
        <v>3832</v>
      </c>
      <c r="B34" s="30">
        <f t="shared" si="0"/>
        <v>50.311894021824635</v>
      </c>
      <c r="C34" s="30" t="str">
        <f t="shared" si="6"/>
        <v>4. Chronic lower respiratory disease</v>
      </c>
      <c r="D34" s="89" t="s">
        <v>239</v>
      </c>
      <c r="E34" s="48">
        <v>1</v>
      </c>
      <c r="F34">
        <f t="shared" si="1"/>
        <v>1</v>
      </c>
      <c r="G34" s="31">
        <v>1</v>
      </c>
      <c r="H34" s="29">
        <v>10800</v>
      </c>
      <c r="I34" s="30" t="s">
        <v>1472</v>
      </c>
      <c r="J34" s="28">
        <v>366</v>
      </c>
      <c r="K34" s="77">
        <f t="shared" si="2"/>
        <v>0.02</v>
      </c>
      <c r="L34" s="28">
        <v>3600</v>
      </c>
      <c r="M34" s="30">
        <f t="shared" si="3"/>
        <v>26352</v>
      </c>
      <c r="N34" s="30">
        <f t="shared" si="7"/>
        <v>5184</v>
      </c>
      <c r="O34" s="77" t="s">
        <v>1468</v>
      </c>
      <c r="P34" s="89" t="s">
        <v>239</v>
      </c>
      <c r="Q34" s="76">
        <f>(1-EXP(-M34/N34))</f>
        <v>0.99380078949742301</v>
      </c>
      <c r="R34" s="34">
        <f t="shared" si="4"/>
        <v>0.99380078949742301</v>
      </c>
      <c r="S34" s="354">
        <f t="shared" si="9"/>
        <v>1.9876015789948461E-2</v>
      </c>
      <c r="T34" s="30">
        <f t="shared" si="5"/>
        <v>10800</v>
      </c>
    </row>
    <row r="35" spans="1:20" x14ac:dyDescent="0.25">
      <c r="A35" t="s">
        <v>3832</v>
      </c>
      <c r="B35" s="30">
        <f t="shared" si="0"/>
        <v>69.502140189550701</v>
      </c>
      <c r="C35" s="30" t="str">
        <f t="shared" si="6"/>
        <v>4. Chronic lower respiratory disease</v>
      </c>
      <c r="D35" s="89" t="s">
        <v>239</v>
      </c>
      <c r="E35" s="48">
        <v>4</v>
      </c>
      <c r="F35">
        <f t="shared" si="1"/>
        <v>1</v>
      </c>
      <c r="G35" s="31">
        <v>1</v>
      </c>
      <c r="H35" s="29">
        <v>10800</v>
      </c>
      <c r="I35" s="30" t="s">
        <v>1472</v>
      </c>
      <c r="J35" s="28">
        <v>366</v>
      </c>
      <c r="K35" s="77">
        <f t="shared" si="2"/>
        <v>0.02</v>
      </c>
      <c r="L35" s="28">
        <v>3600</v>
      </c>
      <c r="M35" s="30">
        <f t="shared" si="3"/>
        <v>26352</v>
      </c>
      <c r="N35" s="30">
        <f t="shared" si="7"/>
        <v>20736</v>
      </c>
      <c r="O35" s="77" t="s">
        <v>1468</v>
      </c>
      <c r="P35" s="89" t="s">
        <v>239</v>
      </c>
      <c r="Q35" s="76">
        <f>(1-EXP(-M35/N35))</f>
        <v>0.71940230708920316</v>
      </c>
      <c r="R35" s="34">
        <f t="shared" si="4"/>
        <v>0.71940230708920316</v>
      </c>
      <c r="S35" s="354">
        <f t="shared" si="9"/>
        <v>1.4388046141784063E-2</v>
      </c>
      <c r="T35" s="30">
        <f t="shared" si="5"/>
        <v>43200</v>
      </c>
    </row>
    <row r="36" spans="1:20" x14ac:dyDescent="0.25">
      <c r="A36" t="s">
        <v>3832</v>
      </c>
      <c r="B36" s="30">
        <f t="shared" si="0"/>
        <v>144.79257678227364</v>
      </c>
      <c r="C36" s="30" t="str">
        <f t="shared" si="6"/>
        <v>8. Motor vehicle crash</v>
      </c>
      <c r="D36" s="89" t="s">
        <v>239</v>
      </c>
      <c r="E36" s="48">
        <v>12</v>
      </c>
      <c r="F36">
        <f t="shared" si="1"/>
        <v>1</v>
      </c>
      <c r="G36" s="31">
        <v>1</v>
      </c>
      <c r="H36" s="29">
        <v>10800</v>
      </c>
      <c r="I36" s="30" t="s">
        <v>3853</v>
      </c>
      <c r="J36" s="28">
        <v>366</v>
      </c>
      <c r="K36" s="77">
        <f t="shared" si="2"/>
        <v>0.02</v>
      </c>
      <c r="L36" s="28">
        <v>3600</v>
      </c>
      <c r="M36" s="30">
        <f t="shared" si="3"/>
        <v>26352</v>
      </c>
      <c r="N36" s="30">
        <f t="shared" si="7"/>
        <v>62208</v>
      </c>
      <c r="O36" s="77" t="s">
        <v>1468</v>
      </c>
      <c r="P36" s="89" t="s">
        <v>239</v>
      </c>
      <c r="Q36" s="76">
        <f>(1-EXP(-M36/N36))</f>
        <v>0.34532157042267164</v>
      </c>
      <c r="R36" s="34">
        <f t="shared" si="4"/>
        <v>0.34532157042267164</v>
      </c>
      <c r="S36" s="354">
        <f t="shared" si="9"/>
        <v>6.9064314084534327E-3</v>
      </c>
      <c r="T36" s="30">
        <f t="shared" si="5"/>
        <v>129600</v>
      </c>
    </row>
    <row r="37" spans="1:20" x14ac:dyDescent="0.25">
      <c r="A37" t="s">
        <v>3832</v>
      </c>
      <c r="B37" s="30">
        <f t="shared" si="0"/>
        <v>222.77920077199963</v>
      </c>
      <c r="C37" s="30" t="str">
        <f t="shared" si="6"/>
        <v>8. Motor vehicle crash</v>
      </c>
      <c r="D37" s="89" t="s">
        <v>239</v>
      </c>
      <c r="E37" s="48">
        <v>20</v>
      </c>
      <c r="F37">
        <f t="shared" si="1"/>
        <v>1</v>
      </c>
      <c r="G37" s="31">
        <v>1</v>
      </c>
      <c r="H37" s="29">
        <v>10800</v>
      </c>
      <c r="I37" s="30" t="s">
        <v>3854</v>
      </c>
      <c r="J37" s="28">
        <v>366</v>
      </c>
      <c r="K37" s="77">
        <f t="shared" si="2"/>
        <v>0.02</v>
      </c>
      <c r="L37" s="28">
        <v>3600</v>
      </c>
      <c r="M37" s="30">
        <f t="shared" si="3"/>
        <v>26352</v>
      </c>
      <c r="N37" s="30">
        <f t="shared" si="7"/>
        <v>103680</v>
      </c>
      <c r="O37" s="77" t="s">
        <v>1468</v>
      </c>
      <c r="P37" s="89" t="s">
        <v>239</v>
      </c>
      <c r="Q37" s="76">
        <f>(1-EXP(-M37/N37))</f>
        <v>0.22443746914763296</v>
      </c>
      <c r="R37" s="34">
        <f t="shared" si="4"/>
        <v>0.22443746914763296</v>
      </c>
      <c r="S37" s="354">
        <f t="shared" si="9"/>
        <v>4.4887493829526594E-3</v>
      </c>
      <c r="T37" s="30">
        <f t="shared" si="5"/>
        <v>216000</v>
      </c>
    </row>
    <row r="38" spans="1:20" x14ac:dyDescent="0.25">
      <c r="A38" t="s">
        <v>3832</v>
      </c>
      <c r="B38" s="30">
        <f t="shared" si="0"/>
        <v>261.94743776608829</v>
      </c>
      <c r="C38" s="30" t="str">
        <f t="shared" si="6"/>
        <v>8. Motor vehicle crash</v>
      </c>
      <c r="D38" s="89" t="s">
        <v>239</v>
      </c>
      <c r="E38" s="48">
        <v>24</v>
      </c>
      <c r="F38">
        <f t="shared" si="1"/>
        <v>1</v>
      </c>
      <c r="G38" s="31">
        <v>1</v>
      </c>
      <c r="H38" s="29">
        <v>10800</v>
      </c>
      <c r="I38" s="30" t="s">
        <v>3854</v>
      </c>
      <c r="J38" s="28">
        <v>366</v>
      </c>
      <c r="K38" s="77">
        <f t="shared" si="2"/>
        <v>0.02</v>
      </c>
      <c r="L38" s="28">
        <v>3600</v>
      </c>
      <c r="M38" s="30">
        <f t="shared" si="3"/>
        <v>26352</v>
      </c>
      <c r="N38" s="30">
        <f t="shared" si="7"/>
        <v>124416</v>
      </c>
      <c r="O38" s="77" t="s">
        <v>1468</v>
      </c>
      <c r="P38" s="89" t="s">
        <v>239</v>
      </c>
      <c r="Q38" s="76">
        <f>(1-EXP(-M38/N38))</f>
        <v>0.1908779884483871</v>
      </c>
      <c r="R38" s="34">
        <f t="shared" si="4"/>
        <v>0.1908779884483871</v>
      </c>
      <c r="S38" s="354">
        <f t="shared" si="9"/>
        <v>3.8175597689677422E-3</v>
      </c>
      <c r="T38" s="30">
        <f t="shared" si="5"/>
        <v>259200</v>
      </c>
    </row>
    <row r="39" spans="1:20" x14ac:dyDescent="0.25">
      <c r="A39" t="s">
        <v>3832</v>
      </c>
      <c r="B39" s="30">
        <f t="shared" si="0"/>
        <v>2007.514323159802</v>
      </c>
      <c r="C39" s="30" t="str">
        <f t="shared" si="6"/>
        <v>13. Fire or smoke</v>
      </c>
      <c r="D39" s="89" t="s">
        <v>1536</v>
      </c>
      <c r="E39" s="48">
        <v>10</v>
      </c>
      <c r="F39">
        <f t="shared" si="1"/>
        <v>1</v>
      </c>
      <c r="G39" s="31">
        <v>1</v>
      </c>
      <c r="H39" s="29">
        <v>10800</v>
      </c>
      <c r="I39" s="30" t="s">
        <v>1473</v>
      </c>
      <c r="J39" s="28">
        <v>366</v>
      </c>
      <c r="K39" s="77">
        <f t="shared" si="2"/>
        <v>0.02</v>
      </c>
      <c r="L39" s="28">
        <v>3600</v>
      </c>
      <c r="M39" s="30">
        <f t="shared" si="3"/>
        <v>26352</v>
      </c>
      <c r="N39" s="30">
        <f t="shared" si="7"/>
        <v>51840</v>
      </c>
      <c r="O39" s="77">
        <f t="shared" si="8"/>
        <v>6.25E-2</v>
      </c>
      <c r="P39" s="89" t="s">
        <v>1536</v>
      </c>
      <c r="Q39" s="76">
        <f>O39*(1-EXP(-M39/N39))</f>
        <v>2.4906422546116948E-2</v>
      </c>
      <c r="R39" s="34">
        <f t="shared" si="4"/>
        <v>2.4906422546116948E-2</v>
      </c>
      <c r="S39" s="354">
        <f t="shared" si="9"/>
        <v>4.9812845092233899E-4</v>
      </c>
      <c r="T39" s="30">
        <f t="shared" si="5"/>
        <v>108000</v>
      </c>
    </row>
    <row r="40" spans="1:20" x14ac:dyDescent="0.25">
      <c r="A40" t="s">
        <v>3832</v>
      </c>
      <c r="B40" s="30">
        <f t="shared" si="0"/>
        <v>6703.5519098475588</v>
      </c>
      <c r="C40" s="30" t="str">
        <f t="shared" si="6"/>
        <v>15. Bicyclist</v>
      </c>
      <c r="D40" s="89" t="s">
        <v>1536</v>
      </c>
      <c r="E40" s="48">
        <v>40</v>
      </c>
      <c r="F40">
        <f t="shared" si="1"/>
        <v>1</v>
      </c>
      <c r="G40" s="31">
        <v>1</v>
      </c>
      <c r="H40" s="29">
        <v>10800</v>
      </c>
      <c r="I40" s="30" t="s">
        <v>1474</v>
      </c>
      <c r="J40" s="28">
        <v>366</v>
      </c>
      <c r="K40" s="77">
        <f t="shared" si="2"/>
        <v>0.02</v>
      </c>
      <c r="L40" s="28">
        <v>3600</v>
      </c>
      <c r="M40" s="30">
        <f t="shared" si="3"/>
        <v>26352</v>
      </c>
      <c r="N40" s="30">
        <f t="shared" si="7"/>
        <v>207360</v>
      </c>
      <c r="O40" s="77">
        <f t="shared" si="8"/>
        <v>6.25E-2</v>
      </c>
      <c r="P40" s="89" t="s">
        <v>1536</v>
      </c>
      <c r="Q40" s="76">
        <f>O40*(1-EXP(-M40/N40))</f>
        <v>7.4587324260963345E-3</v>
      </c>
      <c r="R40" s="34">
        <f t="shared" si="4"/>
        <v>7.4587324260963345E-3</v>
      </c>
      <c r="S40" s="354">
        <f t="shared" si="9"/>
        <v>1.4917464852192669E-4</v>
      </c>
      <c r="T40" s="30">
        <f t="shared" si="5"/>
        <v>432000</v>
      </c>
    </row>
    <row r="41" spans="1:20" x14ac:dyDescent="0.25">
      <c r="L41" s="28"/>
      <c r="N41" s="28"/>
    </row>
    <row r="42" spans="1:20" x14ac:dyDescent="0.25">
      <c r="A42" t="s">
        <v>3833</v>
      </c>
      <c r="B42" s="30">
        <f>1/(S42)</f>
        <v>3332.6668589625574</v>
      </c>
      <c r="C42" s="30" t="str">
        <f t="shared" ref="C42:C46" si="10">VLOOKUP(B42,B$4:C$28, 2)</f>
        <v>14. Choking on food</v>
      </c>
      <c r="D42" s="89" t="s">
        <v>1536</v>
      </c>
      <c r="E42" s="48">
        <v>1</v>
      </c>
      <c r="F42">
        <f>L42/3600</f>
        <v>1</v>
      </c>
      <c r="G42" s="31">
        <v>2</v>
      </c>
      <c r="H42" s="29">
        <v>400000</v>
      </c>
      <c r="I42" s="30" t="s">
        <v>1471</v>
      </c>
      <c r="J42" s="28">
        <v>366</v>
      </c>
      <c r="K42" s="77">
        <f>$H$78</f>
        <v>0.02</v>
      </c>
      <c r="L42" s="28">
        <v>3600</v>
      </c>
      <c r="M42" s="30">
        <f>G42*J42*K42*L42</f>
        <v>52704</v>
      </c>
      <c r="N42" s="30">
        <f t="shared" ref="N42:N46" si="11">T42*12*12*12/3600</f>
        <v>192000</v>
      </c>
      <c r="O42" s="77">
        <f t="shared" ref="O42:O46" si="12">0.25*0.25</f>
        <v>6.25E-2</v>
      </c>
      <c r="P42" s="89" t="s">
        <v>1536</v>
      </c>
      <c r="Q42" s="76">
        <f>O42*(1-EXP(-M42/N42))</f>
        <v>1.5002999734442329E-2</v>
      </c>
      <c r="R42" s="34">
        <f>Q42</f>
        <v>1.5002999734442329E-2</v>
      </c>
      <c r="S42" s="354">
        <f t="shared" ref="S42:S46" si="13">R42*S$29</f>
        <v>3.0005999468884657E-4</v>
      </c>
      <c r="T42" s="30">
        <f>H42*E42</f>
        <v>400000</v>
      </c>
    </row>
    <row r="43" spans="1:20" x14ac:dyDescent="0.25">
      <c r="A43" t="s">
        <v>3833</v>
      </c>
      <c r="B43" s="30">
        <f>1/(S43)</f>
        <v>6237.9267278309708</v>
      </c>
      <c r="C43" s="30" t="str">
        <f t="shared" si="10"/>
        <v>15. Bicyclist</v>
      </c>
      <c r="D43" s="89" t="s">
        <v>1536</v>
      </c>
      <c r="E43" s="48">
        <v>1</v>
      </c>
      <c r="F43">
        <f>L43/3600</f>
        <v>1</v>
      </c>
      <c r="G43" s="31">
        <v>1</v>
      </c>
      <c r="H43" s="29">
        <v>400000</v>
      </c>
      <c r="I43" s="30" t="s">
        <v>1471</v>
      </c>
      <c r="J43" s="28">
        <v>366</v>
      </c>
      <c r="K43" s="77">
        <f>$H$78</f>
        <v>0.02</v>
      </c>
      <c r="L43" s="28">
        <v>3600</v>
      </c>
      <c r="M43" s="30">
        <f>G43*J43*K43*L43</f>
        <v>26352</v>
      </c>
      <c r="N43" s="30">
        <f t="shared" si="11"/>
        <v>192000</v>
      </c>
      <c r="O43" s="77">
        <f t="shared" si="12"/>
        <v>6.25E-2</v>
      </c>
      <c r="P43" s="89" t="s">
        <v>1536</v>
      </c>
      <c r="Q43" s="76">
        <f>O43*(1-EXP(-M43/N43))</f>
        <v>8.0154836986015415E-3</v>
      </c>
      <c r="R43" s="34">
        <f>Q43</f>
        <v>8.0154836986015415E-3</v>
      </c>
      <c r="S43" s="354">
        <f t="shared" si="13"/>
        <v>1.6030967397203083E-4</v>
      </c>
      <c r="T43" s="30">
        <f>H43*E43</f>
        <v>400000</v>
      </c>
    </row>
    <row r="44" spans="1:20" x14ac:dyDescent="0.25">
      <c r="A44" t="s">
        <v>3833</v>
      </c>
      <c r="B44" s="30">
        <f>1/(S44)</f>
        <v>23717.405852200467</v>
      </c>
      <c r="C44" s="30" t="str">
        <f t="shared" si="10"/>
        <v>18. Electrocution, radiation, extreme temperatures, and pressure</v>
      </c>
      <c r="D44" s="89" t="s">
        <v>1536</v>
      </c>
      <c r="E44" s="48">
        <v>4</v>
      </c>
      <c r="F44">
        <f>L44/3600</f>
        <v>1</v>
      </c>
      <c r="G44" s="31">
        <v>1</v>
      </c>
      <c r="H44" s="29">
        <v>400000</v>
      </c>
      <c r="I44" s="30" t="s">
        <v>1472</v>
      </c>
      <c r="J44" s="28">
        <v>366</v>
      </c>
      <c r="K44" s="77">
        <f>$H$78</f>
        <v>0.02</v>
      </c>
      <c r="L44" s="28">
        <v>3600</v>
      </c>
      <c r="M44" s="30">
        <f>G44*J44*K44*L44</f>
        <v>26352</v>
      </c>
      <c r="N44" s="30">
        <f t="shared" si="11"/>
        <v>768000</v>
      </c>
      <c r="O44" s="77">
        <f t="shared" si="12"/>
        <v>6.25E-2</v>
      </c>
      <c r="P44" s="89" t="s">
        <v>1536</v>
      </c>
      <c r="Q44" s="76">
        <f>O44*(1-EXP(-M44/N44))</f>
        <v>2.1081563604208875E-3</v>
      </c>
      <c r="R44" s="354">
        <f>Q44</f>
        <v>2.1081563604208875E-3</v>
      </c>
      <c r="S44" s="354">
        <f t="shared" si="13"/>
        <v>4.2163127208417752E-5</v>
      </c>
      <c r="T44" s="30">
        <f>H44*E44</f>
        <v>1600000</v>
      </c>
    </row>
    <row r="45" spans="1:20" x14ac:dyDescent="0.25">
      <c r="A45" t="s">
        <v>3833</v>
      </c>
      <c r="B45" s="30">
        <f>1/(S45)</f>
        <v>58688.710989841544</v>
      </c>
      <c r="C45" s="30" t="str">
        <f t="shared" si="10"/>
        <v>20. Cataclysmic storm</v>
      </c>
      <c r="D45" s="89" t="s">
        <v>1536</v>
      </c>
      <c r="E45" s="48">
        <v>10</v>
      </c>
      <c r="F45">
        <f>L45/3600</f>
        <v>1</v>
      </c>
      <c r="G45" s="31">
        <v>1</v>
      </c>
      <c r="H45" s="29">
        <v>400000</v>
      </c>
      <c r="I45" s="30" t="s">
        <v>1473</v>
      </c>
      <c r="J45" s="28">
        <v>366</v>
      </c>
      <c r="K45" s="77">
        <f>$H$78</f>
        <v>0.02</v>
      </c>
      <c r="L45" s="28">
        <v>3600</v>
      </c>
      <c r="M45" s="30">
        <f>G45*J45*K45*L45</f>
        <v>26352</v>
      </c>
      <c r="N45" s="30">
        <f t="shared" si="11"/>
        <v>1920000</v>
      </c>
      <c r="O45" s="77">
        <f t="shared" si="12"/>
        <v>6.25E-2</v>
      </c>
      <c r="P45" s="89" t="s">
        <v>1536</v>
      </c>
      <c r="Q45" s="76">
        <f>O45*(1-EXP(-M45/N45))</f>
        <v>8.5195260138963558E-4</v>
      </c>
      <c r="R45" s="354">
        <f>Q45</f>
        <v>8.5195260138963558E-4</v>
      </c>
      <c r="S45" s="354">
        <f t="shared" si="13"/>
        <v>1.7039052027792713E-5</v>
      </c>
      <c r="T45" s="30">
        <f>H45*E45</f>
        <v>4000000</v>
      </c>
    </row>
    <row r="46" spans="1:20" x14ac:dyDescent="0.25">
      <c r="A46" t="s">
        <v>3833</v>
      </c>
      <c r="B46" s="30">
        <f>1/(S46)</f>
        <v>233551.41272081365</v>
      </c>
      <c r="C46" s="30" t="str">
        <f t="shared" si="10"/>
        <v>24. Lightning</v>
      </c>
      <c r="D46" s="89" t="s">
        <v>1536</v>
      </c>
      <c r="E46" s="48">
        <v>40</v>
      </c>
      <c r="F46">
        <f>L46/3600</f>
        <v>1</v>
      </c>
      <c r="G46" s="31">
        <v>1</v>
      </c>
      <c r="H46" s="29">
        <v>400000</v>
      </c>
      <c r="I46" s="30" t="s">
        <v>1474</v>
      </c>
      <c r="J46" s="28">
        <v>366</v>
      </c>
      <c r="K46" s="77">
        <f>$H$78</f>
        <v>0.02</v>
      </c>
      <c r="L46" s="28">
        <v>3600</v>
      </c>
      <c r="M46" s="30">
        <f>G46*J46*K46*L46</f>
        <v>26352</v>
      </c>
      <c r="N46" s="30">
        <f t="shared" si="11"/>
        <v>7680000</v>
      </c>
      <c r="O46" s="77">
        <f t="shared" si="12"/>
        <v>6.25E-2</v>
      </c>
      <c r="P46" s="89" t="s">
        <v>1536</v>
      </c>
      <c r="Q46" s="76">
        <f>O46*(1-EXP(-M46/N46))</f>
        <v>2.1408562430649813E-4</v>
      </c>
      <c r="R46" s="354">
        <f>Q46</f>
        <v>2.1408562430649813E-4</v>
      </c>
      <c r="S46" s="354">
        <f t="shared" si="13"/>
        <v>4.2817124861299626E-6</v>
      </c>
      <c r="T46" s="30">
        <f>H46*E46</f>
        <v>16000000</v>
      </c>
    </row>
    <row r="47" spans="1:20" x14ac:dyDescent="0.25">
      <c r="L47" s="28"/>
      <c r="N47" s="28"/>
    </row>
    <row r="48" spans="1:20" x14ac:dyDescent="0.25">
      <c r="A48" t="s">
        <v>3832</v>
      </c>
      <c r="B48" s="30">
        <f>1/(S48)</f>
        <v>804.99030434919416</v>
      </c>
      <c r="C48" s="30" t="str">
        <f t="shared" ref="C48:C50" si="14">VLOOKUP(B48,B$4:C$28, 2)</f>
        <v>10. Pedestrian incident</v>
      </c>
      <c r="D48" s="89" t="s">
        <v>1536</v>
      </c>
      <c r="E48" s="48">
        <v>1</v>
      </c>
      <c r="F48">
        <f>L48/3600</f>
        <v>1</v>
      </c>
      <c r="G48" s="31">
        <v>1</v>
      </c>
      <c r="H48" s="29">
        <v>10800</v>
      </c>
      <c r="I48" s="30" t="s">
        <v>1471</v>
      </c>
      <c r="J48" s="28">
        <v>366</v>
      </c>
      <c r="K48" s="77">
        <f>$H$78</f>
        <v>0.02</v>
      </c>
      <c r="L48" s="28">
        <v>3600</v>
      </c>
      <c r="M48" s="30">
        <f>G48*J48*K48*L48</f>
        <v>26352</v>
      </c>
      <c r="N48" s="30">
        <f t="shared" ref="N48:N50" si="15">T48*12*12*12/3600</f>
        <v>5184</v>
      </c>
      <c r="O48" s="77">
        <f t="shared" ref="O48:O50" si="16">0.25*0.25</f>
        <v>6.25E-2</v>
      </c>
      <c r="P48" s="89" t="s">
        <v>1536</v>
      </c>
      <c r="Q48" s="76">
        <f>O48*(1-EXP(-M48/N48))</f>
        <v>6.2112549343588938E-2</v>
      </c>
      <c r="R48" s="34">
        <f>Q48</f>
        <v>6.2112549343588938E-2</v>
      </c>
      <c r="S48" s="354">
        <f t="shared" ref="S48:S50" si="17">R48*S$29</f>
        <v>1.2422509868717788E-3</v>
      </c>
      <c r="T48" s="30">
        <f>H48*E48</f>
        <v>10800</v>
      </c>
    </row>
    <row r="49" spans="1:20" x14ac:dyDescent="0.25">
      <c r="A49" t="s">
        <v>3832</v>
      </c>
      <c r="B49" s="30">
        <f>1/(S49)</f>
        <v>1112.0342430328112</v>
      </c>
      <c r="C49" s="30" t="str">
        <f t="shared" si="14"/>
        <v>11. Motorcyclist</v>
      </c>
      <c r="D49" s="89" t="s">
        <v>1536</v>
      </c>
      <c r="E49" s="48">
        <v>4</v>
      </c>
      <c r="F49">
        <f>L49/3600</f>
        <v>1</v>
      </c>
      <c r="G49" s="31">
        <v>1</v>
      </c>
      <c r="H49" s="29">
        <v>10800</v>
      </c>
      <c r="I49" s="30" t="s">
        <v>1472</v>
      </c>
      <c r="J49" s="28">
        <v>366</v>
      </c>
      <c r="K49" s="77">
        <f>$H$78</f>
        <v>0.02</v>
      </c>
      <c r="L49" s="28">
        <v>3600</v>
      </c>
      <c r="M49" s="30">
        <f>G49*J49*K49*L49</f>
        <v>26352</v>
      </c>
      <c r="N49" s="30">
        <f t="shared" si="15"/>
        <v>20736</v>
      </c>
      <c r="O49" s="77">
        <f t="shared" si="16"/>
        <v>6.25E-2</v>
      </c>
      <c r="P49" s="89" t="s">
        <v>1536</v>
      </c>
      <c r="Q49" s="76">
        <f>O49*(1-EXP(-M49/N49))</f>
        <v>4.4962644193075198E-2</v>
      </c>
      <c r="R49" s="34">
        <f>Q49</f>
        <v>4.4962644193075198E-2</v>
      </c>
      <c r="S49" s="354">
        <f t="shared" si="17"/>
        <v>8.9925288386150397E-4</v>
      </c>
      <c r="T49" s="30">
        <f>H49*E49</f>
        <v>43200</v>
      </c>
    </row>
    <row r="50" spans="1:20" x14ac:dyDescent="0.25">
      <c r="A50" t="s">
        <v>3832</v>
      </c>
      <c r="B50" s="30">
        <f>1/(S50)</f>
        <v>800.0307453502345</v>
      </c>
      <c r="C50" s="30" t="str">
        <f t="shared" si="14"/>
        <v>10. Pedestrian incident</v>
      </c>
      <c r="D50" s="89" t="s">
        <v>1536</v>
      </c>
      <c r="E50" s="48">
        <v>4</v>
      </c>
      <c r="F50">
        <f>L50/3600</f>
        <v>8</v>
      </c>
      <c r="G50" s="31">
        <v>1</v>
      </c>
      <c r="H50" s="29">
        <v>10800</v>
      </c>
      <c r="I50" s="30" t="s">
        <v>1472</v>
      </c>
      <c r="J50" s="28">
        <v>366</v>
      </c>
      <c r="K50" s="77">
        <f>$H$78</f>
        <v>0.02</v>
      </c>
      <c r="L50" s="28">
        <f>3600*8</f>
        <v>28800</v>
      </c>
      <c r="M50" s="30">
        <f>G50*J50*K50*L50</f>
        <v>210816</v>
      </c>
      <c r="N50" s="30">
        <f t="shared" si="15"/>
        <v>20736</v>
      </c>
      <c r="O50" s="77">
        <f t="shared" si="16"/>
        <v>6.25E-2</v>
      </c>
      <c r="P50" s="89" t="s">
        <v>1536</v>
      </c>
      <c r="Q50" s="76">
        <f>O50*(1-EXP(-M50/N50))</f>
        <v>6.2497598111821547E-2</v>
      </c>
      <c r="R50" s="34">
        <f>Q50</f>
        <v>6.2497598111821547E-2</v>
      </c>
      <c r="S50" s="354">
        <f t="shared" si="17"/>
        <v>1.249951962236431E-3</v>
      </c>
      <c r="T50" s="30">
        <f>H50*E50</f>
        <v>43200</v>
      </c>
    </row>
    <row r="51" spans="1:20" x14ac:dyDescent="0.25">
      <c r="B51" s="76"/>
      <c r="C51" s="76"/>
      <c r="D51" s="55"/>
      <c r="E51" s="46"/>
      <c r="H51" s="29"/>
      <c r="I51" s="30"/>
      <c r="K51" s="77"/>
      <c r="L51" s="28"/>
      <c r="M51" s="30"/>
      <c r="N51" s="29"/>
      <c r="O51" s="30"/>
      <c r="P51" s="55"/>
      <c r="Q51" s="76"/>
      <c r="R51" s="76"/>
      <c r="S51" s="76"/>
      <c r="T51" s="30"/>
    </row>
    <row r="52" spans="1:20" x14ac:dyDescent="0.25">
      <c r="A52" t="s">
        <v>3833</v>
      </c>
      <c r="B52" s="30">
        <f>1/(S52)</f>
        <v>6237.9267278309708</v>
      </c>
      <c r="C52" s="30" t="str">
        <f t="shared" ref="C52:C54" si="18">VLOOKUP(B52,B$4:C$28, 2)</f>
        <v>15. Bicyclist</v>
      </c>
      <c r="D52" s="89" t="s">
        <v>1536</v>
      </c>
      <c r="E52" s="48">
        <v>1</v>
      </c>
      <c r="F52">
        <f>L52/3600</f>
        <v>1</v>
      </c>
      <c r="G52" s="31">
        <v>1</v>
      </c>
      <c r="H52" s="29">
        <v>400000</v>
      </c>
      <c r="I52" s="30" t="s">
        <v>1471</v>
      </c>
      <c r="J52" s="28">
        <v>366</v>
      </c>
      <c r="K52" s="77">
        <f>$H$78</f>
        <v>0.02</v>
      </c>
      <c r="L52" s="28">
        <v>3600</v>
      </c>
      <c r="M52" s="30">
        <f>G52*J52*K52*L52</f>
        <v>26352</v>
      </c>
      <c r="N52" s="30">
        <f t="shared" ref="N52:N54" si="19">T52*12*12*12/3600</f>
        <v>192000</v>
      </c>
      <c r="O52" s="77">
        <f t="shared" ref="O52:O54" si="20">0.25*0.25</f>
        <v>6.25E-2</v>
      </c>
      <c r="P52" s="89" t="s">
        <v>1536</v>
      </c>
      <c r="Q52" s="76">
        <f>O52*(1-EXP(-M52/N52))</f>
        <v>8.0154836986015415E-3</v>
      </c>
      <c r="R52" s="34">
        <f>Q52</f>
        <v>8.0154836986015415E-3</v>
      </c>
      <c r="S52" s="354">
        <f t="shared" ref="S52:S54" si="21">R52*S$29</f>
        <v>1.6030967397203083E-4</v>
      </c>
      <c r="T52" s="30">
        <f>H52*E52</f>
        <v>400000</v>
      </c>
    </row>
    <row r="53" spans="1:20" x14ac:dyDescent="0.25">
      <c r="A53" t="s">
        <v>3833</v>
      </c>
      <c r="B53" s="30">
        <f>1/(S53)</f>
        <v>23717.405852200467</v>
      </c>
      <c r="C53" s="30" t="str">
        <f t="shared" si="18"/>
        <v>18. Electrocution, radiation, extreme temperatures, and pressure</v>
      </c>
      <c r="D53" s="89" t="s">
        <v>1536</v>
      </c>
      <c r="E53" s="48">
        <v>4</v>
      </c>
      <c r="F53">
        <f>L53/3600</f>
        <v>1</v>
      </c>
      <c r="G53" s="31">
        <v>1</v>
      </c>
      <c r="H53" s="29">
        <v>400000</v>
      </c>
      <c r="I53" s="30" t="s">
        <v>1472</v>
      </c>
      <c r="J53" s="28">
        <v>366</v>
      </c>
      <c r="K53" s="77">
        <f>$H$78</f>
        <v>0.02</v>
      </c>
      <c r="L53" s="28">
        <v>3600</v>
      </c>
      <c r="M53" s="30">
        <f>G53*J53*K53*L53</f>
        <v>26352</v>
      </c>
      <c r="N53" s="30">
        <f t="shared" si="19"/>
        <v>768000</v>
      </c>
      <c r="O53" s="77">
        <f t="shared" si="20"/>
        <v>6.25E-2</v>
      </c>
      <c r="P53" s="89" t="s">
        <v>1536</v>
      </c>
      <c r="Q53" s="76">
        <f>O53*(1-EXP(-M53/N53))</f>
        <v>2.1081563604208875E-3</v>
      </c>
      <c r="R53" s="354">
        <f>Q53</f>
        <v>2.1081563604208875E-3</v>
      </c>
      <c r="S53" s="354">
        <f t="shared" si="21"/>
        <v>4.2163127208417752E-5</v>
      </c>
      <c r="T53" s="30">
        <f>H53*E53</f>
        <v>1600000</v>
      </c>
    </row>
    <row r="54" spans="1:20" x14ac:dyDescent="0.25">
      <c r="A54" t="s">
        <v>3833</v>
      </c>
      <c r="B54" s="30">
        <f>1/(S54)</f>
        <v>3332.6668589625574</v>
      </c>
      <c r="C54" s="30" t="str">
        <f t="shared" si="18"/>
        <v>14. Choking on food</v>
      </c>
      <c r="D54" s="89" t="s">
        <v>1536</v>
      </c>
      <c r="E54" s="48">
        <v>4</v>
      </c>
      <c r="F54">
        <f>L54/3600</f>
        <v>8</v>
      </c>
      <c r="G54" s="31">
        <v>1</v>
      </c>
      <c r="H54" s="29">
        <v>400000</v>
      </c>
      <c r="I54" s="30" t="s">
        <v>1472</v>
      </c>
      <c r="J54" s="28">
        <v>366</v>
      </c>
      <c r="K54" s="77">
        <f>$H$78</f>
        <v>0.02</v>
      </c>
      <c r="L54" s="28">
        <f>3600*8</f>
        <v>28800</v>
      </c>
      <c r="M54" s="30">
        <f>G54*J54*K54*L54</f>
        <v>210816</v>
      </c>
      <c r="N54" s="30">
        <f t="shared" si="19"/>
        <v>768000</v>
      </c>
      <c r="O54" s="77">
        <f t="shared" si="20"/>
        <v>6.25E-2</v>
      </c>
      <c r="P54" s="89" t="s">
        <v>1536</v>
      </c>
      <c r="Q54" s="76">
        <f>O54*(1-EXP(-M54/N54))</f>
        <v>1.5002999734442329E-2</v>
      </c>
      <c r="R54" s="34">
        <f>Q54</f>
        <v>1.5002999734442329E-2</v>
      </c>
      <c r="S54" s="354">
        <f t="shared" si="21"/>
        <v>3.0005999468884657E-4</v>
      </c>
      <c r="T54" s="30">
        <f>H54*E54</f>
        <v>1600000</v>
      </c>
    </row>
    <row r="55" spans="1:20" x14ac:dyDescent="0.25">
      <c r="L55" s="28"/>
      <c r="N55" s="28"/>
    </row>
    <row r="56" spans="1:20" x14ac:dyDescent="0.25">
      <c r="A56" t="s">
        <v>3832</v>
      </c>
      <c r="B56" s="30">
        <f>1/(S56)</f>
        <v>50.311894021824635</v>
      </c>
      <c r="C56" s="30" t="str">
        <f t="shared" ref="C56:C60" si="22">VLOOKUP(B56,B$4:C$28, 2)</f>
        <v>4. Chronic lower respiratory disease</v>
      </c>
      <c r="D56" s="356" t="s">
        <v>1537</v>
      </c>
      <c r="E56" s="48">
        <v>1</v>
      </c>
      <c r="F56">
        <f>L56/3600</f>
        <v>1</v>
      </c>
      <c r="G56" s="31">
        <v>1</v>
      </c>
      <c r="H56" s="29">
        <v>10800</v>
      </c>
      <c r="I56" s="30" t="s">
        <v>1471</v>
      </c>
      <c r="J56" s="28">
        <v>366</v>
      </c>
      <c r="K56" s="77">
        <f>$H$78</f>
        <v>0.02</v>
      </c>
      <c r="L56" s="28">
        <v>3600</v>
      </c>
      <c r="M56" s="30">
        <f>G56*J56*K56*L56</f>
        <v>26352</v>
      </c>
      <c r="N56" s="30">
        <f t="shared" ref="N56:N60" si="23">T56*12*12*12/3600</f>
        <v>5184</v>
      </c>
      <c r="O56" s="78" t="s">
        <v>1538</v>
      </c>
      <c r="P56" s="357" t="s">
        <v>1537</v>
      </c>
      <c r="Q56" s="76">
        <f>(1-EXP(-M56/N56))</f>
        <v>0.99380078949742301</v>
      </c>
      <c r="R56" s="34">
        <f>Q56</f>
        <v>0.99380078949742301</v>
      </c>
      <c r="S56" s="354">
        <f t="shared" ref="S56:S60" si="24">R56*S$29</f>
        <v>1.9876015789948461E-2</v>
      </c>
      <c r="T56" s="30">
        <f>H56*E56</f>
        <v>10800</v>
      </c>
    </row>
    <row r="57" spans="1:20" x14ac:dyDescent="0.25">
      <c r="A57" t="s">
        <v>3832</v>
      </c>
      <c r="B57" s="30">
        <f>1/(S57)</f>
        <v>69.502140189550701</v>
      </c>
      <c r="C57" s="30" t="str">
        <f t="shared" si="22"/>
        <v>4. Chronic lower respiratory disease</v>
      </c>
      <c r="D57" s="356" t="s">
        <v>1537</v>
      </c>
      <c r="E57" s="48">
        <v>4</v>
      </c>
      <c r="F57">
        <f>L57/3600</f>
        <v>1</v>
      </c>
      <c r="G57" s="31">
        <v>1</v>
      </c>
      <c r="H57" s="29">
        <v>10800</v>
      </c>
      <c r="I57" s="30" t="s">
        <v>1472</v>
      </c>
      <c r="J57" s="28">
        <v>366</v>
      </c>
      <c r="K57" s="77">
        <f>$H$78</f>
        <v>0.02</v>
      </c>
      <c r="L57" s="28">
        <v>3600</v>
      </c>
      <c r="M57" s="30">
        <f>G57*J57*K57*L57</f>
        <v>26352</v>
      </c>
      <c r="N57" s="30">
        <f t="shared" si="23"/>
        <v>20736</v>
      </c>
      <c r="O57" s="78" t="s">
        <v>1538</v>
      </c>
      <c r="P57" s="357" t="s">
        <v>1537</v>
      </c>
      <c r="Q57" s="76">
        <f>(1-EXP(-M57/N57))</f>
        <v>0.71940230708920316</v>
      </c>
      <c r="R57" s="34">
        <f>Q57</f>
        <v>0.71940230708920316</v>
      </c>
      <c r="S57" s="354">
        <f t="shared" si="24"/>
        <v>1.4388046141784063E-2</v>
      </c>
      <c r="T57" s="30">
        <f>H57*E57</f>
        <v>43200</v>
      </c>
    </row>
    <row r="58" spans="1:20" x14ac:dyDescent="0.25">
      <c r="A58" t="s">
        <v>3832</v>
      </c>
      <c r="B58" s="30">
        <f>1/(S58)</f>
        <v>418.97199436547243</v>
      </c>
      <c r="C58" s="30" t="str">
        <f t="shared" si="22"/>
        <v>9. Gun assault</v>
      </c>
      <c r="D58" s="356" t="s">
        <v>1537</v>
      </c>
      <c r="E58" s="48">
        <v>40</v>
      </c>
      <c r="F58">
        <f>L58/3600</f>
        <v>1</v>
      </c>
      <c r="G58" s="31">
        <v>1</v>
      </c>
      <c r="H58" s="29">
        <v>10800</v>
      </c>
      <c r="I58" s="30" t="s">
        <v>1474</v>
      </c>
      <c r="J58" s="28">
        <v>366</v>
      </c>
      <c r="K58" s="77">
        <f>$H$78</f>
        <v>0.02</v>
      </c>
      <c r="L58" s="28">
        <v>3600</v>
      </c>
      <c r="M58" s="30">
        <f>G58*J58*K58*L58</f>
        <v>26352</v>
      </c>
      <c r="N58" s="30">
        <f t="shared" si="23"/>
        <v>207360</v>
      </c>
      <c r="O58" s="78" t="s">
        <v>1538</v>
      </c>
      <c r="P58" s="357" t="s">
        <v>1537</v>
      </c>
      <c r="Q58" s="76">
        <f>(1-EXP(-M58/N58))</f>
        <v>0.11933971881754135</v>
      </c>
      <c r="R58" s="34">
        <f>Q58</f>
        <v>0.11933971881754135</v>
      </c>
      <c r="S58" s="354">
        <f t="shared" si="24"/>
        <v>2.386794376350827E-3</v>
      </c>
      <c r="T58" s="30">
        <f>H58*E58</f>
        <v>432000</v>
      </c>
    </row>
    <row r="59" spans="1:20" x14ac:dyDescent="0.25">
      <c r="A59" t="s">
        <v>3832</v>
      </c>
      <c r="B59" s="30">
        <f>1/(S59)</f>
        <v>50.001921584389656</v>
      </c>
      <c r="C59" s="30" t="str">
        <f t="shared" si="22"/>
        <v>4. Chronic lower respiratory disease</v>
      </c>
      <c r="D59" s="89" t="s">
        <v>239</v>
      </c>
      <c r="E59" s="48">
        <v>4</v>
      </c>
      <c r="F59">
        <f>L59/3600</f>
        <v>8</v>
      </c>
      <c r="G59" s="31">
        <v>1</v>
      </c>
      <c r="H59" s="29">
        <v>10800</v>
      </c>
      <c r="I59" s="30" t="s">
        <v>1472</v>
      </c>
      <c r="J59" s="28">
        <v>366</v>
      </c>
      <c r="K59" s="77">
        <f>$H$78</f>
        <v>0.02</v>
      </c>
      <c r="L59" s="28">
        <f>3600*8</f>
        <v>28800</v>
      </c>
      <c r="M59" s="30">
        <f>G59*J59*K59*L59</f>
        <v>210816</v>
      </c>
      <c r="N59" s="30">
        <f t="shared" si="23"/>
        <v>20736</v>
      </c>
      <c r="O59" s="78" t="s">
        <v>1468</v>
      </c>
      <c r="P59" s="89" t="s">
        <v>239</v>
      </c>
      <c r="Q59" s="76">
        <f>(1-EXP(-M59/N59))</f>
        <v>0.99996156978914474</v>
      </c>
      <c r="R59" s="34">
        <f>Q59</f>
        <v>0.99996156978914474</v>
      </c>
      <c r="S59" s="354">
        <f t="shared" si="24"/>
        <v>1.9999231395782895E-2</v>
      </c>
      <c r="T59" s="30">
        <f>H59*E59</f>
        <v>43200</v>
      </c>
    </row>
    <row r="60" spans="1:20" x14ac:dyDescent="0.25">
      <c r="A60" t="s">
        <v>3832</v>
      </c>
      <c r="B60" s="30">
        <f>1/(S60)</f>
        <v>78.345214791188951</v>
      </c>
      <c r="C60" s="30" t="str">
        <f t="shared" si="22"/>
        <v>4. Chronic lower respiratory disease</v>
      </c>
      <c r="D60" s="89" t="s">
        <v>239</v>
      </c>
      <c r="E60" s="48">
        <v>40</v>
      </c>
      <c r="F60">
        <f>L60/3600</f>
        <v>8</v>
      </c>
      <c r="G60" s="31">
        <v>1</v>
      </c>
      <c r="H60" s="29">
        <v>10800</v>
      </c>
      <c r="I60" s="30" t="s">
        <v>1474</v>
      </c>
      <c r="J60" s="28">
        <v>366</v>
      </c>
      <c r="K60" s="77">
        <f>$H$78</f>
        <v>0.02</v>
      </c>
      <c r="L60" s="28">
        <f>3600*8</f>
        <v>28800</v>
      </c>
      <c r="M60" s="30">
        <f>G60*J60*K60*L60</f>
        <v>210816</v>
      </c>
      <c r="N60" s="30">
        <f t="shared" si="23"/>
        <v>207360</v>
      </c>
      <c r="O60" s="78" t="s">
        <v>1468</v>
      </c>
      <c r="P60" s="89" t="s">
        <v>239</v>
      </c>
      <c r="Q60" s="76">
        <f>(1-EXP(-M60/N60))</f>
        <v>0.63820107116003744</v>
      </c>
      <c r="R60" s="34">
        <f>Q60</f>
        <v>0.63820107116003744</v>
      </c>
      <c r="S60" s="354">
        <f t="shared" si="24"/>
        <v>1.2764021423200749E-2</v>
      </c>
      <c r="T60" s="30">
        <f>H60*E60</f>
        <v>432000</v>
      </c>
    </row>
    <row r="61" spans="1:20" x14ac:dyDescent="0.25">
      <c r="B61" s="76"/>
      <c r="C61" s="76"/>
      <c r="D61" s="55"/>
      <c r="E61" s="46"/>
      <c r="H61" s="29"/>
      <c r="I61" s="30"/>
      <c r="K61" s="77"/>
      <c r="L61" s="28"/>
      <c r="M61" s="30"/>
      <c r="N61" s="29"/>
      <c r="O61" s="55"/>
      <c r="P61" s="55"/>
      <c r="Q61" s="76"/>
      <c r="R61" s="76"/>
      <c r="S61" s="76"/>
      <c r="T61" s="30"/>
    </row>
    <row r="62" spans="1:20" x14ac:dyDescent="0.25">
      <c r="A62" t="s">
        <v>3833</v>
      </c>
      <c r="B62" s="30">
        <f>1/(S62)</f>
        <v>389.87042048943567</v>
      </c>
      <c r="C62" s="30" t="str">
        <f t="shared" ref="C62:C66" si="25">VLOOKUP(B62,B$4:C$28, 2)</f>
        <v>9. Gun assault</v>
      </c>
      <c r="D62" s="89" t="s">
        <v>239</v>
      </c>
      <c r="E62" s="48">
        <v>1</v>
      </c>
      <c r="F62">
        <v>1</v>
      </c>
      <c r="G62" s="31">
        <v>1</v>
      </c>
      <c r="H62" s="29">
        <v>400000</v>
      </c>
      <c r="I62" s="30" t="s">
        <v>1471</v>
      </c>
      <c r="J62" s="28">
        <v>366</v>
      </c>
      <c r="K62" s="77">
        <f>$H$78</f>
        <v>0.02</v>
      </c>
      <c r="L62" s="28">
        <v>3600</v>
      </c>
      <c r="M62" s="30">
        <f>G62*J62*K62*L62</f>
        <v>26352</v>
      </c>
      <c r="N62" s="30">
        <f t="shared" ref="N62:N66" si="26">T62*12*12*12/3600</f>
        <v>192000</v>
      </c>
      <c r="O62" s="78" t="s">
        <v>1468</v>
      </c>
      <c r="P62" s="89" t="s">
        <v>239</v>
      </c>
      <c r="Q62" s="76">
        <f>(1-EXP(-M62/N62))</f>
        <v>0.12824773917762466</v>
      </c>
      <c r="R62" s="34">
        <f>Q62</f>
        <v>0.12824773917762466</v>
      </c>
      <c r="S62" s="354">
        <f t="shared" ref="S62:S66" si="27">R62*S$29</f>
        <v>2.5649547835524932E-3</v>
      </c>
      <c r="T62" s="30">
        <f>H62*E62</f>
        <v>400000</v>
      </c>
    </row>
    <row r="63" spans="1:20" x14ac:dyDescent="0.25">
      <c r="A63" t="s">
        <v>3833</v>
      </c>
      <c r="B63" s="30">
        <f>1/(S63)</f>
        <v>1482.3378657625292</v>
      </c>
      <c r="C63" s="30" t="str">
        <f t="shared" si="25"/>
        <v>12. Drowning</v>
      </c>
      <c r="D63" s="89" t="s">
        <v>239</v>
      </c>
      <c r="E63" s="48">
        <v>4</v>
      </c>
      <c r="F63">
        <f>L63/3600</f>
        <v>1</v>
      </c>
      <c r="G63" s="31">
        <v>1</v>
      </c>
      <c r="H63" s="29">
        <v>400000</v>
      </c>
      <c r="I63" s="30" t="s">
        <v>1472</v>
      </c>
      <c r="J63" s="28">
        <v>366</v>
      </c>
      <c r="K63" s="77">
        <f>$H$78</f>
        <v>0.02</v>
      </c>
      <c r="L63" s="28">
        <v>3600</v>
      </c>
      <c r="M63" s="30">
        <f>G63*J63*K63*L63</f>
        <v>26352</v>
      </c>
      <c r="N63" s="30">
        <f t="shared" si="26"/>
        <v>768000</v>
      </c>
      <c r="O63" s="78" t="s">
        <v>1468</v>
      </c>
      <c r="P63" s="89" t="s">
        <v>239</v>
      </c>
      <c r="Q63" s="76">
        <f>(1-EXP(-M63/N63))</f>
        <v>3.37305017667342E-2</v>
      </c>
      <c r="R63" s="34">
        <f>Q63</f>
        <v>3.37305017667342E-2</v>
      </c>
      <c r="S63" s="354">
        <f t="shared" si="27"/>
        <v>6.7461003533468404E-4</v>
      </c>
      <c r="T63" s="30">
        <f>H63*E63</f>
        <v>1600000</v>
      </c>
    </row>
    <row r="64" spans="1:20" x14ac:dyDescent="0.25">
      <c r="A64" t="s">
        <v>3833</v>
      </c>
      <c r="B64" s="30">
        <f>1/(S64)</f>
        <v>14596.963295050853</v>
      </c>
      <c r="C64" s="30" t="str">
        <f t="shared" si="25"/>
        <v>18. Electrocution, radiation, extreme temperatures, and pressure</v>
      </c>
      <c r="D64" s="89" t="s">
        <v>239</v>
      </c>
      <c r="E64" s="48">
        <v>40</v>
      </c>
      <c r="F64">
        <f>L64/3600</f>
        <v>1</v>
      </c>
      <c r="G64" s="31">
        <v>1</v>
      </c>
      <c r="H64" s="29">
        <v>400000</v>
      </c>
      <c r="I64" s="30" t="s">
        <v>1474</v>
      </c>
      <c r="J64" s="28">
        <v>366</v>
      </c>
      <c r="K64" s="77">
        <f>$H$78</f>
        <v>0.02</v>
      </c>
      <c r="L64" s="28">
        <v>3600</v>
      </c>
      <c r="M64" s="30">
        <f>G64*J64*K64*L64</f>
        <v>26352</v>
      </c>
      <c r="N64" s="30">
        <f t="shared" si="26"/>
        <v>7680000</v>
      </c>
      <c r="O64" s="78" t="s">
        <v>1468</v>
      </c>
      <c r="P64" s="89" t="s">
        <v>239</v>
      </c>
      <c r="Q64" s="76">
        <f>(1-EXP(-M64/N64))</f>
        <v>3.4253699889039702E-3</v>
      </c>
      <c r="R64" s="57">
        <f>Q64</f>
        <v>3.4253699889039702E-3</v>
      </c>
      <c r="S64" s="354">
        <f t="shared" si="27"/>
        <v>6.8507399778079401E-5</v>
      </c>
      <c r="T64" s="30">
        <f>H64*E64</f>
        <v>16000000</v>
      </c>
    </row>
    <row r="65" spans="1:20" x14ac:dyDescent="0.25">
      <c r="A65" t="s">
        <v>3833</v>
      </c>
      <c r="B65" s="30">
        <f>1/(S65)</f>
        <v>208.29167868515984</v>
      </c>
      <c r="C65" s="30" t="str">
        <f t="shared" si="25"/>
        <v>8. Motor vehicle crash</v>
      </c>
      <c r="D65" s="89" t="s">
        <v>239</v>
      </c>
      <c r="E65" s="48">
        <v>4</v>
      </c>
      <c r="F65">
        <f>L65/3600</f>
        <v>8</v>
      </c>
      <c r="G65" s="31">
        <v>1</v>
      </c>
      <c r="H65" s="29">
        <v>400000</v>
      </c>
      <c r="I65" s="30" t="s">
        <v>1472</v>
      </c>
      <c r="J65" s="28">
        <v>366</v>
      </c>
      <c r="K65" s="77">
        <f>$H$78</f>
        <v>0.02</v>
      </c>
      <c r="L65" s="28">
        <f>3600*8</f>
        <v>28800</v>
      </c>
      <c r="M65" s="30">
        <f>G65*J65*K65*L65</f>
        <v>210816</v>
      </c>
      <c r="N65" s="30">
        <f t="shared" si="26"/>
        <v>768000</v>
      </c>
      <c r="O65" s="78" t="s">
        <v>1468</v>
      </c>
      <c r="P65" s="89" t="s">
        <v>239</v>
      </c>
      <c r="Q65" s="76">
        <f>(1-EXP(-M65/N65))</f>
        <v>0.24004799575107727</v>
      </c>
      <c r="R65" s="34">
        <f>Q65</f>
        <v>0.24004799575107727</v>
      </c>
      <c r="S65" s="354">
        <f t="shared" si="27"/>
        <v>4.8009599150215451E-3</v>
      </c>
      <c r="T65" s="30">
        <f>H65*E65</f>
        <v>1600000</v>
      </c>
    </row>
    <row r="66" spans="1:20" x14ac:dyDescent="0.25">
      <c r="A66" t="s">
        <v>3833</v>
      </c>
      <c r="B66" s="30">
        <f>1/(S66)</f>
        <v>1846.6079983359732</v>
      </c>
      <c r="C66" s="30" t="str">
        <f t="shared" si="25"/>
        <v>13. Fire or smoke</v>
      </c>
      <c r="D66" s="89" t="s">
        <v>239</v>
      </c>
      <c r="E66" s="48">
        <v>40</v>
      </c>
      <c r="F66">
        <f>L66/3600</f>
        <v>8</v>
      </c>
      <c r="G66" s="31">
        <v>1</v>
      </c>
      <c r="H66" s="29">
        <v>400000</v>
      </c>
      <c r="I66" s="30" t="s">
        <v>1474</v>
      </c>
      <c r="J66" s="28">
        <v>366</v>
      </c>
      <c r="K66" s="77">
        <f>$H$78</f>
        <v>0.02</v>
      </c>
      <c r="L66" s="28">
        <f>3600*8</f>
        <v>28800</v>
      </c>
      <c r="M66" s="30">
        <f>G66*J66*K66*L66</f>
        <v>210816</v>
      </c>
      <c r="N66" s="30">
        <f t="shared" si="26"/>
        <v>7680000</v>
      </c>
      <c r="O66" s="78" t="s">
        <v>1468</v>
      </c>
      <c r="P66" s="89" t="s">
        <v>239</v>
      </c>
      <c r="Q66" s="76">
        <f>(1-EXP(-M66/N66))</f>
        <v>2.7076672496304743E-2</v>
      </c>
      <c r="R66" s="34">
        <f>Q66</f>
        <v>2.7076672496304743E-2</v>
      </c>
      <c r="S66" s="354">
        <f t="shared" si="27"/>
        <v>5.4153344992609483E-4</v>
      </c>
      <c r="T66" s="30">
        <f>H66*E66</f>
        <v>16000000</v>
      </c>
    </row>
    <row r="67" spans="1:20" x14ac:dyDescent="0.25">
      <c r="B67" s="76"/>
      <c r="C67" s="76"/>
      <c r="D67" s="78"/>
      <c r="E67" s="46"/>
      <c r="H67" s="29"/>
      <c r="I67" s="30"/>
      <c r="K67" s="77"/>
      <c r="L67" s="28"/>
      <c r="M67" s="30"/>
      <c r="N67" s="29"/>
      <c r="O67" s="78"/>
      <c r="P67" s="78"/>
      <c r="Q67" s="76"/>
      <c r="R67" s="76"/>
      <c r="S67" s="76"/>
      <c r="T67" s="30"/>
    </row>
    <row r="68" spans="1:20" x14ac:dyDescent="0.25">
      <c r="A68" t="s">
        <v>4541</v>
      </c>
      <c r="B68" s="30">
        <f t="shared" ref="B68:B73" si="28">1/(S68)</f>
        <v>8877.4825503315969</v>
      </c>
      <c r="C68" s="30" t="str">
        <f t="shared" ref="C68:C73" si="29">VLOOKUP(B68,B$4:C$28, 2)</f>
        <v>17. Accidental gun discharge</v>
      </c>
      <c r="D68" s="89" t="s">
        <v>239</v>
      </c>
      <c r="E68" s="48">
        <v>3600</v>
      </c>
      <c r="F68">
        <f t="shared" ref="F68:F73" si="30">L68/3600</f>
        <v>4</v>
      </c>
      <c r="G68" s="31">
        <v>1</v>
      </c>
      <c r="H68" s="29">
        <v>10800</v>
      </c>
      <c r="I68" s="30" t="s">
        <v>1477</v>
      </c>
      <c r="J68" s="28">
        <v>366</v>
      </c>
      <c r="K68" s="77">
        <f t="shared" ref="K68:K73" si="31">$H$78</f>
        <v>0.02</v>
      </c>
      <c r="L68" s="28">
        <f t="shared" ref="L68:L69" si="32">3600*4</f>
        <v>14400</v>
      </c>
      <c r="M68" s="30">
        <f t="shared" ref="M68:M73" si="33">G68*J68*K68*L68</f>
        <v>105408</v>
      </c>
      <c r="N68" s="30">
        <f t="shared" ref="N68:N73" si="34">T68*12*12*12/3600</f>
        <v>18662400</v>
      </c>
      <c r="O68" s="78" t="s">
        <v>1468</v>
      </c>
      <c r="P68" s="89" t="s">
        <v>239</v>
      </c>
      <c r="Q68" s="76">
        <f t="shared" ref="Q68:Q73" si="35">(1-EXP(-M68/N68))</f>
        <v>5.6322273478456308E-3</v>
      </c>
      <c r="R68" s="34">
        <f t="shared" ref="R68:R73" si="36">Q68</f>
        <v>5.6322273478456308E-3</v>
      </c>
      <c r="S68" s="354">
        <f t="shared" ref="S68:S73" si="37">R68*S$29</f>
        <v>1.1264454695691262E-4</v>
      </c>
      <c r="T68" s="30">
        <f t="shared" ref="T68:T73" si="38">H68*E68</f>
        <v>38880000</v>
      </c>
    </row>
    <row r="69" spans="1:20" x14ac:dyDescent="0.25">
      <c r="A69" t="s">
        <v>4541</v>
      </c>
      <c r="B69" s="30">
        <f t="shared" si="28"/>
        <v>44287.299788755983</v>
      </c>
      <c r="C69" s="30" t="str">
        <f t="shared" si="29"/>
        <v>19. Sharp objects</v>
      </c>
      <c r="D69" s="89" t="s">
        <v>239</v>
      </c>
      <c r="E69" s="31">
        <f>E68*5</f>
        <v>18000</v>
      </c>
      <c r="F69">
        <f t="shared" si="30"/>
        <v>4</v>
      </c>
      <c r="G69" s="31">
        <v>1</v>
      </c>
      <c r="H69" s="29">
        <v>10800</v>
      </c>
      <c r="I69" s="30" t="s">
        <v>1479</v>
      </c>
      <c r="J69" s="28">
        <v>366</v>
      </c>
      <c r="K69" s="77">
        <f t="shared" si="31"/>
        <v>0.02</v>
      </c>
      <c r="L69" s="28">
        <f t="shared" si="32"/>
        <v>14400</v>
      </c>
      <c r="M69" s="30">
        <f t="shared" si="33"/>
        <v>105408</v>
      </c>
      <c r="N69" s="30">
        <f t="shared" si="34"/>
        <v>93312000</v>
      </c>
      <c r="O69" s="78" t="s">
        <v>1468</v>
      </c>
      <c r="P69" s="89" t="s">
        <v>239</v>
      </c>
      <c r="Q69" s="76">
        <f t="shared" si="35"/>
        <v>1.1289918382582087E-3</v>
      </c>
      <c r="R69" s="354">
        <f t="shared" si="36"/>
        <v>1.1289918382582087E-3</v>
      </c>
      <c r="S69" s="354">
        <f t="shared" si="37"/>
        <v>2.2579836765164176E-5</v>
      </c>
      <c r="T69" s="30">
        <f t="shared" si="38"/>
        <v>194400000</v>
      </c>
    </row>
    <row r="70" spans="1:20" x14ac:dyDescent="0.25">
      <c r="A70" t="s">
        <v>4543</v>
      </c>
      <c r="B70" s="30">
        <f t="shared" si="28"/>
        <v>327893.85309445381</v>
      </c>
      <c r="C70" s="30" t="str">
        <f t="shared" si="29"/>
        <v>24. Lightning</v>
      </c>
      <c r="D70" s="89" t="s">
        <v>239</v>
      </c>
      <c r="E70" s="48">
        <v>3600</v>
      </c>
      <c r="F70">
        <f t="shared" si="30"/>
        <v>4</v>
      </c>
      <c r="G70" s="31">
        <v>1</v>
      </c>
      <c r="H70" s="29">
        <v>400000</v>
      </c>
      <c r="I70" s="30" t="s">
        <v>1477</v>
      </c>
      <c r="J70" s="28">
        <v>366</v>
      </c>
      <c r="K70" s="77">
        <f t="shared" si="31"/>
        <v>0.02</v>
      </c>
      <c r="L70" s="28">
        <f>3600*4</f>
        <v>14400</v>
      </c>
      <c r="M70" s="30">
        <f t="shared" si="33"/>
        <v>105408</v>
      </c>
      <c r="N70" s="30">
        <f t="shared" si="34"/>
        <v>691200000</v>
      </c>
      <c r="O70" s="78" t="s">
        <v>1468</v>
      </c>
      <c r="P70" s="89" t="s">
        <v>239</v>
      </c>
      <c r="Q70" s="76">
        <f t="shared" si="35"/>
        <v>1.5248837246606417E-4</v>
      </c>
      <c r="R70" s="354">
        <f t="shared" si="36"/>
        <v>1.5248837246606417E-4</v>
      </c>
      <c r="S70" s="354">
        <f t="shared" si="37"/>
        <v>3.0497674493212834E-6</v>
      </c>
      <c r="T70" s="30">
        <f t="shared" si="38"/>
        <v>1440000000</v>
      </c>
    </row>
    <row r="71" spans="1:20" x14ac:dyDescent="0.25">
      <c r="A71" t="s">
        <v>4543</v>
      </c>
      <c r="B71" s="30">
        <f t="shared" si="28"/>
        <v>1639369.2624200145</v>
      </c>
      <c r="C71" s="30" t="str">
        <f t="shared" si="29"/>
        <v>24. Lightning</v>
      </c>
      <c r="D71" s="89" t="s">
        <v>239</v>
      </c>
      <c r="E71" s="31">
        <f>E70*5</f>
        <v>18000</v>
      </c>
      <c r="F71">
        <f t="shared" si="30"/>
        <v>4</v>
      </c>
      <c r="G71" s="31">
        <v>1</v>
      </c>
      <c r="H71" s="29">
        <v>400000</v>
      </c>
      <c r="I71" s="30" t="s">
        <v>1479</v>
      </c>
      <c r="J71" s="28">
        <v>366</v>
      </c>
      <c r="K71" s="77">
        <f t="shared" si="31"/>
        <v>0.02</v>
      </c>
      <c r="L71" s="28">
        <f>3600*4</f>
        <v>14400</v>
      </c>
      <c r="M71" s="30">
        <f t="shared" si="33"/>
        <v>105408</v>
      </c>
      <c r="N71" s="30">
        <f t="shared" si="34"/>
        <v>3456000000</v>
      </c>
      <c r="O71" s="78" t="s">
        <v>1468</v>
      </c>
      <c r="P71" s="89" t="s">
        <v>239</v>
      </c>
      <c r="Q71" s="76">
        <f t="shared" si="35"/>
        <v>3.0499534879768753E-5</v>
      </c>
      <c r="R71" s="354">
        <f t="shared" si="36"/>
        <v>3.0499534879768753E-5</v>
      </c>
      <c r="S71" s="354">
        <f t="shared" si="37"/>
        <v>6.0999069759537502E-7</v>
      </c>
      <c r="T71" s="30">
        <f t="shared" si="38"/>
        <v>7200000000</v>
      </c>
    </row>
    <row r="72" spans="1:20" x14ac:dyDescent="0.25">
      <c r="A72" t="s">
        <v>4542</v>
      </c>
      <c r="B72" s="30">
        <f t="shared" si="28"/>
        <v>3278713.5246474012</v>
      </c>
      <c r="C72" s="30" t="str">
        <f t="shared" si="29"/>
        <v>24. Lightning</v>
      </c>
      <c r="D72" s="89" t="s">
        <v>239</v>
      </c>
      <c r="E72" s="48">
        <v>3600</v>
      </c>
      <c r="F72">
        <f t="shared" si="30"/>
        <v>4</v>
      </c>
      <c r="G72" s="31">
        <v>1</v>
      </c>
      <c r="H72" s="29">
        <f>100*1000*40</f>
        <v>4000000</v>
      </c>
      <c r="I72" s="30" t="s">
        <v>1477</v>
      </c>
      <c r="J72" s="28">
        <v>366</v>
      </c>
      <c r="K72" s="77">
        <f t="shared" si="31"/>
        <v>0.02</v>
      </c>
      <c r="L72" s="28">
        <f>3600*4</f>
        <v>14400</v>
      </c>
      <c r="M72" s="30">
        <f t="shared" si="33"/>
        <v>105408</v>
      </c>
      <c r="N72" s="30">
        <f t="shared" si="34"/>
        <v>6912000000</v>
      </c>
      <c r="O72" s="78" t="s">
        <v>1468</v>
      </c>
      <c r="P72" s="89" t="s">
        <v>239</v>
      </c>
      <c r="Q72" s="76">
        <f t="shared" si="35"/>
        <v>1.5249883719370416E-5</v>
      </c>
      <c r="R72" s="354">
        <f t="shared" si="36"/>
        <v>1.5249883719370416E-5</v>
      </c>
      <c r="S72" s="354">
        <f t="shared" si="37"/>
        <v>3.0499767438740833E-7</v>
      </c>
      <c r="T72" s="30">
        <f t="shared" si="38"/>
        <v>14400000000</v>
      </c>
    </row>
    <row r="73" spans="1:20" x14ac:dyDescent="0.25">
      <c r="A73" t="s">
        <v>4542</v>
      </c>
      <c r="B73" s="30">
        <f t="shared" si="28"/>
        <v>16393467.623122908</v>
      </c>
      <c r="C73" s="30" t="str">
        <f t="shared" si="29"/>
        <v>24. Lightning</v>
      </c>
      <c r="D73" s="89" t="s">
        <v>239</v>
      </c>
      <c r="E73" s="31">
        <f>E72*5</f>
        <v>18000</v>
      </c>
      <c r="F73">
        <f t="shared" si="30"/>
        <v>4</v>
      </c>
      <c r="G73" s="31">
        <v>1</v>
      </c>
      <c r="H73" s="29">
        <f>100*1000*40</f>
        <v>4000000</v>
      </c>
      <c r="I73" s="30" t="s">
        <v>1479</v>
      </c>
      <c r="J73" s="28">
        <v>366</v>
      </c>
      <c r="K73" s="77">
        <f t="shared" si="31"/>
        <v>0.02</v>
      </c>
      <c r="L73" s="28">
        <f>3600*4</f>
        <v>14400</v>
      </c>
      <c r="M73" s="30">
        <f t="shared" si="33"/>
        <v>105408</v>
      </c>
      <c r="N73" s="30">
        <f t="shared" si="34"/>
        <v>34560000000</v>
      </c>
      <c r="O73" s="78" t="s">
        <v>1468</v>
      </c>
      <c r="P73" s="89" t="s">
        <v>239</v>
      </c>
      <c r="Q73" s="76">
        <f t="shared" si="35"/>
        <v>3.0499953487250764E-6</v>
      </c>
      <c r="R73" s="354">
        <f t="shared" si="36"/>
        <v>3.0499953487250764E-6</v>
      </c>
      <c r="S73" s="354">
        <f t="shared" si="37"/>
        <v>6.0999906974501526E-8</v>
      </c>
      <c r="T73" s="30">
        <f t="shared" si="38"/>
        <v>72000000000</v>
      </c>
    </row>
    <row r="74" spans="1:20" x14ac:dyDescent="0.25">
      <c r="B74" s="276"/>
      <c r="C74" s="276"/>
      <c r="D74" s="78"/>
      <c r="E74" s="46"/>
      <c r="H74" s="29"/>
      <c r="I74" s="30"/>
      <c r="K74" s="77"/>
      <c r="L74" s="28"/>
      <c r="M74" s="30"/>
      <c r="N74" s="29"/>
      <c r="O74" s="78"/>
      <c r="P74" s="78"/>
      <c r="Q74" s="277">
        <f>1/Q73</f>
        <v>327869.35246245813</v>
      </c>
      <c r="R74" s="276">
        <f>Q73</f>
        <v>3.0499953487250764E-6</v>
      </c>
      <c r="S74" s="276"/>
      <c r="T74" s="30" t="s">
        <v>2507</v>
      </c>
    </row>
    <row r="75" spans="1:20" x14ac:dyDescent="0.25">
      <c r="B75" s="76"/>
      <c r="C75" s="76"/>
      <c r="D75" s="55"/>
      <c r="E75" s="46"/>
      <c r="H75" s="29"/>
      <c r="I75" s="30"/>
      <c r="K75" s="77"/>
      <c r="M75" s="30"/>
      <c r="N75" s="30"/>
      <c r="O75" s="30"/>
      <c r="P75" s="55"/>
      <c r="Q75" s="277">
        <f>1/(Q73*0.035)</f>
        <v>9367695.7846416607</v>
      </c>
      <c r="R75" s="76"/>
      <c r="S75" s="76"/>
      <c r="T75" s="30" t="s">
        <v>2508</v>
      </c>
    </row>
    <row r="76" spans="1:20" x14ac:dyDescent="0.25">
      <c r="B76" s="76"/>
      <c r="C76" s="76"/>
      <c r="D76" s="55"/>
      <c r="E76" s="46"/>
      <c r="H76" s="29"/>
      <c r="I76" s="30"/>
      <c r="K76" s="77"/>
      <c r="M76" s="30"/>
      <c r="N76" s="30"/>
      <c r="O76" s="30"/>
      <c r="P76" s="55"/>
      <c r="Q76" s="277"/>
      <c r="R76" s="76"/>
      <c r="S76" s="76"/>
      <c r="T76" s="30"/>
    </row>
    <row r="77" spans="1:20" s="2" customFormat="1" ht="45" x14ac:dyDescent="0.25">
      <c r="D77" s="42" t="s">
        <v>1482</v>
      </c>
      <c r="E77" s="42" t="s">
        <v>1462</v>
      </c>
      <c r="F77" s="42" t="s">
        <v>841</v>
      </c>
      <c r="G77" s="42" t="s">
        <v>1463</v>
      </c>
      <c r="H77" s="42" t="s">
        <v>1456</v>
      </c>
      <c r="P77" s="42"/>
    </row>
    <row r="78" spans="1:20" x14ac:dyDescent="0.25">
      <c r="D78">
        <v>1000</v>
      </c>
      <c r="E78">
        <v>20</v>
      </c>
      <c r="F78">
        <v>1</v>
      </c>
      <c r="G78">
        <f>D78/(E78*F78)</f>
        <v>50</v>
      </c>
      <c r="H78" s="77">
        <f>F78/G78</f>
        <v>0.02</v>
      </c>
      <c r="P78" s="78"/>
    </row>
    <row r="79" spans="1:20" x14ac:dyDescent="0.25">
      <c r="D79"/>
      <c r="G79"/>
      <c r="H79"/>
    </row>
    <row r="80" spans="1:20" x14ac:dyDescent="0.25">
      <c r="D80" s="32" t="s">
        <v>1385</v>
      </c>
      <c r="E80" s="32" t="s">
        <v>1386</v>
      </c>
      <c r="F80" s="32" t="s">
        <v>261</v>
      </c>
      <c r="G80" s="32" t="s">
        <v>1414</v>
      </c>
      <c r="H80"/>
    </row>
    <row r="81" spans="2:19" x14ac:dyDescent="0.25">
      <c r="D81">
        <v>30</v>
      </c>
      <c r="E81">
        <v>30</v>
      </c>
      <c r="F81">
        <v>12</v>
      </c>
      <c r="G81" s="30">
        <f>D81*E81*F81</f>
        <v>10800</v>
      </c>
      <c r="H81"/>
    </row>
    <row r="82" spans="2:19" x14ac:dyDescent="0.25">
      <c r="D82">
        <v>100</v>
      </c>
      <c r="E82">
        <v>100</v>
      </c>
      <c r="F82">
        <v>40</v>
      </c>
      <c r="G82" s="30">
        <f>D82*E82*F82</f>
        <v>400000</v>
      </c>
      <c r="H82"/>
    </row>
    <row r="83" spans="2:19" x14ac:dyDescent="0.25">
      <c r="D83">
        <v>1000</v>
      </c>
      <c r="E83">
        <v>100</v>
      </c>
      <c r="F83">
        <v>40</v>
      </c>
      <c r="G83" s="30">
        <f>D83*E83*F83</f>
        <v>4000000</v>
      </c>
      <c r="H83"/>
    </row>
    <row r="84" spans="2:19" x14ac:dyDescent="0.25">
      <c r="D84" s="28"/>
      <c r="G84"/>
      <c r="H84"/>
    </row>
    <row r="85" spans="2:19" ht="45" x14ac:dyDescent="0.25">
      <c r="B85" s="32"/>
      <c r="C85" s="32"/>
      <c r="D85" s="79" t="s">
        <v>1487</v>
      </c>
      <c r="E85" s="32" t="s">
        <v>1488</v>
      </c>
      <c r="F85" s="32" t="s">
        <v>1489</v>
      </c>
      <c r="G85" s="32" t="s">
        <v>1490</v>
      </c>
      <c r="H85" s="32" t="s">
        <v>264</v>
      </c>
      <c r="I85" s="32" t="s">
        <v>1268</v>
      </c>
      <c r="Q85" s="32"/>
      <c r="R85" s="32"/>
      <c r="S85" s="32"/>
    </row>
    <row r="86" spans="2:19" x14ac:dyDescent="0.25">
      <c r="D86" s="28">
        <v>6</v>
      </c>
      <c r="E86" s="30">
        <f>30*30</f>
        <v>900</v>
      </c>
      <c r="F86" s="31">
        <f>E86/(D86*D86)</f>
        <v>25</v>
      </c>
      <c r="G86" s="28">
        <v>0.1</v>
      </c>
      <c r="H86" s="31">
        <f>F86*G86</f>
        <v>2.5</v>
      </c>
    </row>
    <row r="87" spans="2:19" x14ac:dyDescent="0.25">
      <c r="D87" s="28">
        <v>6</v>
      </c>
      <c r="E87" s="30">
        <f>100*100</f>
        <v>10000</v>
      </c>
      <c r="F87" s="30">
        <f>E87/(D87*D87)</f>
        <v>277.77777777777777</v>
      </c>
      <c r="G87" s="28">
        <v>0.1</v>
      </c>
      <c r="H87" s="30">
        <f t="shared" ref="H87:H88" si="39">F87*G87</f>
        <v>27.777777777777779</v>
      </c>
    </row>
    <row r="88" spans="2:19" x14ac:dyDescent="0.25">
      <c r="D88" s="28">
        <v>6</v>
      </c>
      <c r="E88" s="30">
        <f>100*1000</f>
        <v>100000</v>
      </c>
      <c r="F88" s="30">
        <f>E88/(D88*D88)</f>
        <v>2777.7777777777778</v>
      </c>
      <c r="G88" s="28">
        <v>0.1</v>
      </c>
      <c r="H88" s="30">
        <f t="shared" si="39"/>
        <v>277.77777777777777</v>
      </c>
      <c r="I88" t="s">
        <v>1491</v>
      </c>
    </row>
    <row r="89" spans="2:19" x14ac:dyDescent="0.25">
      <c r="D89"/>
      <c r="G89"/>
      <c r="H89"/>
    </row>
    <row r="90" spans="2:19" x14ac:dyDescent="0.25">
      <c r="D90" s="28">
        <v>16</v>
      </c>
      <c r="E90" s="30">
        <f>30*30</f>
        <v>900</v>
      </c>
      <c r="F90" s="31">
        <f>E90/(D90*D90)</f>
        <v>3.515625</v>
      </c>
      <c r="G90" s="28">
        <v>0.1</v>
      </c>
      <c r="H90" s="80">
        <f>F90*G90</f>
        <v>0.3515625</v>
      </c>
    </row>
    <row r="91" spans="2:19" x14ac:dyDescent="0.25">
      <c r="D91" s="28">
        <v>16</v>
      </c>
      <c r="E91" s="30">
        <f>100*100</f>
        <v>10000</v>
      </c>
      <c r="F91" s="30">
        <f>E91/(D91*D91)</f>
        <v>39.0625</v>
      </c>
      <c r="G91" s="28">
        <v>0.1</v>
      </c>
      <c r="H91" s="30">
        <f t="shared" ref="H91:H92" si="40">F91*G91</f>
        <v>3.90625</v>
      </c>
    </row>
    <row r="92" spans="2:19" x14ac:dyDescent="0.25">
      <c r="D92" s="28">
        <v>16</v>
      </c>
      <c r="E92" s="30">
        <f>100*1000</f>
        <v>100000</v>
      </c>
      <c r="F92" s="30">
        <f>E92/(D92*D92)</f>
        <v>390.625</v>
      </c>
      <c r="G92" s="28">
        <v>0.1</v>
      </c>
      <c r="H92" s="30">
        <f t="shared" si="40"/>
        <v>39.0625</v>
      </c>
      <c r="I92" t="s">
        <v>1491</v>
      </c>
    </row>
  </sheetData>
  <pageMargins left="0.7" right="0.7" top="0.75" bottom="0.75" header="0.3" footer="0.3"/>
  <pageSetup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59452-CCCC-4CC2-9DDC-825460A24803}">
  <dimension ref="A2:V107"/>
  <sheetViews>
    <sheetView zoomScale="80" zoomScaleNormal="80" workbookViewId="0">
      <selection activeCell="A6" sqref="A6"/>
    </sheetView>
  </sheetViews>
  <sheetFormatPr defaultRowHeight="15" x14ac:dyDescent="0.25"/>
  <cols>
    <col min="1" max="1" width="19.7109375" customWidth="1"/>
    <col min="3" max="3" width="9.140625" customWidth="1"/>
    <col min="6" max="6" width="10.85546875" customWidth="1"/>
    <col min="14" max="14" width="9.140625" customWidth="1"/>
    <col min="18" max="18" width="5.7109375" customWidth="1"/>
    <col min="19" max="19" width="10.5703125" bestFit="1" customWidth="1"/>
  </cols>
  <sheetData>
    <row r="2" spans="1:22" s="28" customFormat="1" ht="105" x14ac:dyDescent="0.25">
      <c r="A2" s="79"/>
      <c r="B2" s="79" t="s">
        <v>1749</v>
      </c>
      <c r="C2" s="79" t="s">
        <v>1754</v>
      </c>
      <c r="D2" s="79" t="s">
        <v>1750</v>
      </c>
      <c r="E2" s="79" t="s">
        <v>1820</v>
      </c>
      <c r="F2" s="79" t="s">
        <v>1813</v>
      </c>
      <c r="G2" s="79" t="s">
        <v>1817</v>
      </c>
      <c r="H2" s="79" t="s">
        <v>1825</v>
      </c>
      <c r="I2" s="42" t="s">
        <v>1757</v>
      </c>
      <c r="J2" s="42" t="s">
        <v>1758</v>
      </c>
      <c r="K2" s="79" t="s">
        <v>1818</v>
      </c>
      <c r="L2" s="79" t="s">
        <v>1811</v>
      </c>
      <c r="M2" s="79" t="s">
        <v>1819</v>
      </c>
      <c r="N2" s="79" t="s">
        <v>1755</v>
      </c>
      <c r="O2" s="79" t="s">
        <v>1789</v>
      </c>
      <c r="P2" s="79" t="s">
        <v>1794</v>
      </c>
      <c r="Q2" s="79" t="s">
        <v>1800</v>
      </c>
      <c r="R2" s="79" t="s">
        <v>1795</v>
      </c>
      <c r="S2" s="79" t="s">
        <v>1802</v>
      </c>
      <c r="T2" s="79" t="s">
        <v>1823</v>
      </c>
      <c r="U2" s="79" t="s">
        <v>1803</v>
      </c>
      <c r="V2" s="79" t="s">
        <v>1830</v>
      </c>
    </row>
    <row r="3" spans="1:22" x14ac:dyDescent="0.25">
      <c r="A3" s="28" t="s">
        <v>249</v>
      </c>
      <c r="B3" s="28">
        <v>20</v>
      </c>
      <c r="C3" s="28">
        <v>1</v>
      </c>
      <c r="D3">
        <f>C3*3600</f>
        <v>3600</v>
      </c>
      <c r="E3" s="31">
        <f>35.3*F3</f>
        <v>998.9899999999999</v>
      </c>
      <c r="F3" s="28">
        <v>28.3</v>
      </c>
      <c r="G3">
        <f>F3*1000</f>
        <v>28300</v>
      </c>
      <c r="H3" s="28">
        <v>23.1</v>
      </c>
      <c r="I3">
        <f>H3*3600</f>
        <v>83160</v>
      </c>
      <c r="J3">
        <f>I3/1000</f>
        <v>83.16</v>
      </c>
      <c r="K3" s="80">
        <f>H3/F3</f>
        <v>0.81625441696113077</v>
      </c>
      <c r="L3" s="80">
        <f>J3/F3</f>
        <v>2.9385159010600703</v>
      </c>
      <c r="M3" s="46">
        <f>B3/H3</f>
        <v>0.86580086580086579</v>
      </c>
      <c r="N3" s="46">
        <f>H3*D3/G3</f>
        <v>2.9385159010600708</v>
      </c>
      <c r="O3" s="46">
        <f>M3*(1-EXP(-N3))</f>
        <v>0.81996169267633079</v>
      </c>
      <c r="P3" s="49">
        <v>0.15</v>
      </c>
      <c r="Q3" s="31">
        <f>O3*P3*D3</f>
        <v>442.7793140452186</v>
      </c>
      <c r="R3" s="28">
        <v>1</v>
      </c>
      <c r="S3" s="31">
        <f>(R3*B3*P3/H3)*(D3+(G3/H3)*(EXP(-H3/G3)-1))</f>
        <v>467.40265039171237</v>
      </c>
      <c r="T3" s="31">
        <f>S3*0.25</f>
        <v>116.85066259792809</v>
      </c>
      <c r="U3" s="31">
        <f>S3/16</f>
        <v>29.212665649482023</v>
      </c>
      <c r="V3" s="46">
        <f>-1/(S3/$S$6)</f>
        <v>-1.2973966400877694</v>
      </c>
    </row>
    <row r="4" spans="1:22" x14ac:dyDescent="0.25">
      <c r="A4" s="28" t="s">
        <v>249</v>
      </c>
      <c r="B4" s="28">
        <f>B3</f>
        <v>20</v>
      </c>
      <c r="C4" s="28">
        <v>8</v>
      </c>
      <c r="D4">
        <f>C4*3600</f>
        <v>28800</v>
      </c>
      <c r="E4" s="31">
        <f>35.3*F4</f>
        <v>998.9899999999999</v>
      </c>
      <c r="F4" s="28">
        <v>28.3</v>
      </c>
      <c r="G4">
        <f>F4*1000</f>
        <v>28300</v>
      </c>
      <c r="H4" s="28">
        <v>23.1</v>
      </c>
      <c r="I4">
        <f>H4*3600</f>
        <v>83160</v>
      </c>
      <c r="J4">
        <f>I4/1000</f>
        <v>83.16</v>
      </c>
      <c r="K4" s="80">
        <f>H4/F4</f>
        <v>0.81625441696113077</v>
      </c>
      <c r="L4" s="80">
        <f>J4/F4</f>
        <v>2.9385159010600703</v>
      </c>
      <c r="M4" s="46">
        <f>B4/H4</f>
        <v>0.86580086580086579</v>
      </c>
      <c r="N4" s="46">
        <f>H4*D4/G4</f>
        <v>23.508127208480566</v>
      </c>
      <c r="O4" s="46">
        <f>M4*(1-EXP(-N4))</f>
        <v>0.86580086574741333</v>
      </c>
      <c r="P4" s="49">
        <v>0.15</v>
      </c>
      <c r="Q4" s="31">
        <f>O4*P4*D4</f>
        <v>3740.2597400288255</v>
      </c>
      <c r="R4" s="28">
        <v>1</v>
      </c>
      <c r="S4" s="31">
        <f>(R4*B4*P4/H4)*(D4+(G4/H4)*(EXP(-H4/G4)-1))</f>
        <v>3740.1299231189846</v>
      </c>
      <c r="T4" s="31">
        <f>S4*0.25</f>
        <v>935.03248077974615</v>
      </c>
      <c r="U4" s="31">
        <f>S4/16</f>
        <v>233.75812019493654</v>
      </c>
      <c r="V4" s="46">
        <f t="shared" ref="V4" si="0">S4/$S$6</f>
        <v>6.1676930120390825</v>
      </c>
    </row>
    <row r="5" spans="1:22" x14ac:dyDescent="0.25">
      <c r="A5" s="28"/>
      <c r="B5" s="28"/>
      <c r="C5" s="28"/>
      <c r="F5" s="28"/>
      <c r="H5" s="28"/>
      <c r="K5" s="80"/>
      <c r="L5" s="80"/>
      <c r="M5" s="46"/>
      <c r="N5" s="46"/>
      <c r="O5" s="46"/>
      <c r="P5" s="49"/>
      <c r="Q5" s="31"/>
      <c r="R5" s="28"/>
      <c r="S5" s="31"/>
      <c r="U5" s="31"/>
      <c r="V5" s="46"/>
    </row>
    <row r="6" spans="1:22" x14ac:dyDescent="0.25">
      <c r="A6" s="28" t="s">
        <v>1761</v>
      </c>
      <c r="B6" s="28">
        <v>20</v>
      </c>
      <c r="C6" s="49">
        <f>C32</f>
        <v>0.5</v>
      </c>
      <c r="D6">
        <f t="shared" ref="D6:D13" si="1">C6*3600</f>
        <v>1800</v>
      </c>
      <c r="E6" s="31">
        <f t="shared" ref="E6:E13" si="2">35.3*F6</f>
        <v>24.709999999999997</v>
      </c>
      <c r="F6" s="49">
        <f t="shared" ref="F6:F13" si="3">B32</f>
        <v>0.7</v>
      </c>
      <c r="G6">
        <f t="shared" ref="G6:G13" si="4">F6*1000</f>
        <v>700</v>
      </c>
      <c r="H6" s="49">
        <f>F32</f>
        <v>8.9</v>
      </c>
      <c r="I6">
        <f t="shared" ref="I6:I13" si="5">H6*3600</f>
        <v>32040</v>
      </c>
      <c r="J6">
        <f t="shared" ref="J6:J13" si="6">I6/1000</f>
        <v>32.04</v>
      </c>
      <c r="K6" s="80">
        <f t="shared" ref="K6:K13" si="7">H6/F6</f>
        <v>12.714285714285715</v>
      </c>
      <c r="L6" s="80">
        <f t="shared" ref="L6:L13" si="8">J6/F6</f>
        <v>45.771428571428572</v>
      </c>
      <c r="M6" s="46">
        <f t="shared" ref="M6:M13" si="9">B6/H6</f>
        <v>2.2471910112359548</v>
      </c>
      <c r="N6" s="46">
        <f t="shared" ref="N6:N13" si="10">H6*D6/G6</f>
        <v>22.885714285714286</v>
      </c>
      <c r="O6" s="46">
        <f t="shared" ref="O6" si="11">M6*(1-EXP(-N6))</f>
        <v>2.2471910109774309</v>
      </c>
      <c r="P6" s="49">
        <v>0.15</v>
      </c>
      <c r="Q6" s="31">
        <f t="shared" ref="Q6:Q13" si="12">O6*P6*D6</f>
        <v>606.74157296390626</v>
      </c>
      <c r="R6" s="28">
        <v>1</v>
      </c>
      <c r="S6" s="31">
        <f t="shared" ref="S6:S13" si="13">(R6*B6*P6/H6)*(D6+(G6/H6)*(EXP(-H6/G6)-1))</f>
        <v>606.40662818632597</v>
      </c>
      <c r="T6" s="31">
        <f t="shared" ref="T6:T13" si="14">S6*0.25</f>
        <v>151.60165704658149</v>
      </c>
      <c r="U6" s="31">
        <f t="shared" ref="U6:U13" si="15">S6/16</f>
        <v>37.900414261645373</v>
      </c>
      <c r="V6" s="46">
        <f>S6/$S$6</f>
        <v>1</v>
      </c>
    </row>
    <row r="7" spans="1:22" x14ac:dyDescent="0.25">
      <c r="A7" s="28" t="s">
        <v>1829</v>
      </c>
      <c r="B7" s="28">
        <f>B6</f>
        <v>20</v>
      </c>
      <c r="C7" s="49">
        <f t="shared" ref="C7:C13" si="16">C33</f>
        <v>6</v>
      </c>
      <c r="D7">
        <f t="shared" si="1"/>
        <v>21600</v>
      </c>
      <c r="E7" s="31">
        <f t="shared" si="2"/>
        <v>35.299999999999997</v>
      </c>
      <c r="F7" s="49">
        <f t="shared" si="3"/>
        <v>1</v>
      </c>
      <c r="G7">
        <f t="shared" si="4"/>
        <v>1000</v>
      </c>
      <c r="H7" s="49">
        <f t="shared" ref="H7:H13" si="17">F33</f>
        <v>6.1</v>
      </c>
      <c r="I7">
        <f t="shared" si="5"/>
        <v>21960</v>
      </c>
      <c r="J7">
        <f t="shared" si="6"/>
        <v>21.96</v>
      </c>
      <c r="K7" s="80">
        <f t="shared" si="7"/>
        <v>6.1</v>
      </c>
      <c r="L7" s="80">
        <f t="shared" si="8"/>
        <v>21.96</v>
      </c>
      <c r="M7" s="46">
        <f t="shared" si="9"/>
        <v>3.278688524590164</v>
      </c>
      <c r="N7" s="46">
        <f t="shared" si="10"/>
        <v>131.76</v>
      </c>
      <c r="O7" s="46">
        <f t="shared" ref="O7:O13" si="18">M7*(1-EXP(-N7))</f>
        <v>3.278688524590164</v>
      </c>
      <c r="P7" s="49">
        <v>0.15</v>
      </c>
      <c r="Q7" s="31">
        <f t="shared" si="12"/>
        <v>10622.950819672131</v>
      </c>
      <c r="R7" s="28">
        <f t="shared" ref="R7:R13" si="19">R6</f>
        <v>1</v>
      </c>
      <c r="S7" s="31">
        <f t="shared" si="13"/>
        <v>10622.460513348091</v>
      </c>
      <c r="T7" s="31">
        <f t="shared" si="14"/>
        <v>2655.6151283370227</v>
      </c>
      <c r="U7" s="31">
        <f t="shared" si="15"/>
        <v>663.90378208425568</v>
      </c>
      <c r="V7" s="46">
        <f t="shared" ref="V7:V13" si="20">S7/$S$6</f>
        <v>17.517058718698912</v>
      </c>
    </row>
    <row r="8" spans="1:22" x14ac:dyDescent="0.25">
      <c r="A8" s="28" t="s">
        <v>1763</v>
      </c>
      <c r="B8" s="28">
        <f t="shared" ref="B8:B13" si="21">B7</f>
        <v>20</v>
      </c>
      <c r="C8" s="49">
        <f t="shared" si="16"/>
        <v>14</v>
      </c>
      <c r="D8">
        <f t="shared" si="1"/>
        <v>50400</v>
      </c>
      <c r="E8" s="31">
        <f t="shared" si="2"/>
        <v>56.48</v>
      </c>
      <c r="F8" s="49">
        <f t="shared" si="3"/>
        <v>1.6</v>
      </c>
      <c r="G8">
        <f t="shared" si="4"/>
        <v>1600</v>
      </c>
      <c r="H8" s="49">
        <f t="shared" si="17"/>
        <v>11.8</v>
      </c>
      <c r="I8">
        <f t="shared" si="5"/>
        <v>42480</v>
      </c>
      <c r="J8">
        <f t="shared" si="6"/>
        <v>42.48</v>
      </c>
      <c r="K8" s="80">
        <f t="shared" si="7"/>
        <v>7.375</v>
      </c>
      <c r="L8" s="80">
        <f t="shared" si="8"/>
        <v>26.549999999999997</v>
      </c>
      <c r="M8" s="46">
        <f t="shared" si="9"/>
        <v>1.6949152542372881</v>
      </c>
      <c r="N8" s="46">
        <f t="shared" si="10"/>
        <v>371.7</v>
      </c>
      <c r="O8" s="46">
        <f t="shared" si="18"/>
        <v>1.6949152542372881</v>
      </c>
      <c r="P8" s="49">
        <v>0.15</v>
      </c>
      <c r="Q8" s="31">
        <f t="shared" si="12"/>
        <v>12813.559322033898</v>
      </c>
      <c r="R8" s="28">
        <f t="shared" si="19"/>
        <v>1</v>
      </c>
      <c r="S8" s="31">
        <f t="shared" si="13"/>
        <v>12813.306019945318</v>
      </c>
      <c r="T8" s="31">
        <f t="shared" si="14"/>
        <v>3203.3265049863294</v>
      </c>
      <c r="U8" s="31">
        <f t="shared" si="15"/>
        <v>800.83162624658235</v>
      </c>
      <c r="V8" s="46">
        <f t="shared" si="20"/>
        <v>21.129891106678784</v>
      </c>
    </row>
    <row r="9" spans="1:22" x14ac:dyDescent="0.25">
      <c r="A9" s="28" t="s">
        <v>1764</v>
      </c>
      <c r="B9" s="28">
        <f t="shared" si="21"/>
        <v>20</v>
      </c>
      <c r="C9" s="49">
        <f t="shared" si="16"/>
        <v>6</v>
      </c>
      <c r="D9">
        <f t="shared" si="1"/>
        <v>21600</v>
      </c>
      <c r="E9" s="31">
        <f t="shared" si="2"/>
        <v>285.92999999999995</v>
      </c>
      <c r="F9" s="49">
        <f t="shared" si="3"/>
        <v>8.1</v>
      </c>
      <c r="G9">
        <f t="shared" si="4"/>
        <v>8100</v>
      </c>
      <c r="H9" s="49">
        <f t="shared" si="17"/>
        <v>10.9</v>
      </c>
      <c r="I9">
        <f t="shared" si="5"/>
        <v>39240</v>
      </c>
      <c r="J9">
        <f t="shared" si="6"/>
        <v>39.24</v>
      </c>
      <c r="K9" s="80">
        <f t="shared" si="7"/>
        <v>1.3456790123456792</v>
      </c>
      <c r="L9" s="80">
        <f t="shared" si="8"/>
        <v>4.844444444444445</v>
      </c>
      <c r="M9" s="46">
        <f t="shared" si="9"/>
        <v>1.8348623853211008</v>
      </c>
      <c r="N9" s="46">
        <f t="shared" si="10"/>
        <v>29.066666666666666</v>
      </c>
      <c r="O9" s="46">
        <f t="shared" si="18"/>
        <v>1.8348623853206643</v>
      </c>
      <c r="P9" s="49">
        <v>0.15</v>
      </c>
      <c r="Q9" s="31">
        <f t="shared" si="12"/>
        <v>5944.9541284389525</v>
      </c>
      <c r="R9" s="28">
        <f t="shared" si="19"/>
        <v>1</v>
      </c>
      <c r="S9" s="31">
        <f t="shared" si="13"/>
        <v>5944.679084184716</v>
      </c>
      <c r="T9" s="31">
        <f t="shared" si="14"/>
        <v>1486.169771046179</v>
      </c>
      <c r="U9" s="31">
        <f t="shared" si="15"/>
        <v>371.54244276154475</v>
      </c>
      <c r="V9" s="46">
        <f t="shared" si="20"/>
        <v>9.8031235277958402</v>
      </c>
    </row>
    <row r="10" spans="1:22" x14ac:dyDescent="0.25">
      <c r="A10" s="28" t="s">
        <v>1765</v>
      </c>
      <c r="B10" s="28">
        <f t="shared" si="21"/>
        <v>20</v>
      </c>
      <c r="C10" s="49">
        <f t="shared" si="16"/>
        <v>4</v>
      </c>
      <c r="D10">
        <f t="shared" si="1"/>
        <v>14400</v>
      </c>
      <c r="E10" s="31">
        <f t="shared" si="2"/>
        <v>360.05999999999995</v>
      </c>
      <c r="F10" s="49">
        <f t="shared" si="3"/>
        <v>10.199999999999999</v>
      </c>
      <c r="G10">
        <f t="shared" si="4"/>
        <v>10200</v>
      </c>
      <c r="H10" s="49">
        <f t="shared" si="17"/>
        <v>10.6</v>
      </c>
      <c r="I10">
        <f t="shared" si="5"/>
        <v>38160</v>
      </c>
      <c r="J10">
        <f t="shared" si="6"/>
        <v>38.159999999999997</v>
      </c>
      <c r="K10" s="80">
        <f t="shared" si="7"/>
        <v>1.0392156862745099</v>
      </c>
      <c r="L10" s="80">
        <f t="shared" si="8"/>
        <v>3.7411764705882353</v>
      </c>
      <c r="M10" s="46">
        <f t="shared" si="9"/>
        <v>1.8867924528301887</v>
      </c>
      <c r="N10" s="46">
        <f t="shared" si="10"/>
        <v>14.964705882352941</v>
      </c>
      <c r="O10" s="46">
        <f t="shared" si="18"/>
        <v>1.8867918549213929</v>
      </c>
      <c r="P10" s="49">
        <v>0.15</v>
      </c>
      <c r="Q10" s="31">
        <f t="shared" si="12"/>
        <v>4075.4704066302083</v>
      </c>
      <c r="R10" s="28">
        <f t="shared" si="19"/>
        <v>1</v>
      </c>
      <c r="S10" s="31">
        <f t="shared" si="13"/>
        <v>4075.1888262531775</v>
      </c>
      <c r="T10" s="31">
        <f t="shared" si="14"/>
        <v>1018.7972065632944</v>
      </c>
      <c r="U10" s="31">
        <f t="shared" si="15"/>
        <v>254.69930164082359</v>
      </c>
      <c r="V10" s="46">
        <f t="shared" si="20"/>
        <v>6.7202247416745333</v>
      </c>
    </row>
    <row r="11" spans="1:22" x14ac:dyDescent="0.25">
      <c r="A11" s="28" t="s">
        <v>1766</v>
      </c>
      <c r="B11" s="28">
        <f t="shared" si="21"/>
        <v>20</v>
      </c>
      <c r="C11" s="49">
        <f t="shared" si="16"/>
        <v>6</v>
      </c>
      <c r="D11">
        <f t="shared" si="1"/>
        <v>21600</v>
      </c>
      <c r="E11" s="31">
        <f t="shared" si="2"/>
        <v>398.89</v>
      </c>
      <c r="F11" s="49">
        <f t="shared" si="3"/>
        <v>11.3</v>
      </c>
      <c r="G11">
        <f t="shared" si="4"/>
        <v>11300</v>
      </c>
      <c r="H11" s="49">
        <f t="shared" si="17"/>
        <v>12.1</v>
      </c>
      <c r="I11">
        <f t="shared" si="5"/>
        <v>43560</v>
      </c>
      <c r="J11">
        <f t="shared" si="6"/>
        <v>43.56</v>
      </c>
      <c r="K11" s="80">
        <f t="shared" si="7"/>
        <v>1.070796460176991</v>
      </c>
      <c r="L11" s="80">
        <f t="shared" si="8"/>
        <v>3.854867256637168</v>
      </c>
      <c r="M11" s="46">
        <f t="shared" si="9"/>
        <v>1.6528925619834711</v>
      </c>
      <c r="N11" s="46">
        <f t="shared" si="10"/>
        <v>23.12920353982301</v>
      </c>
      <c r="O11" s="46">
        <f t="shared" si="18"/>
        <v>1.6528925618344119</v>
      </c>
      <c r="P11" s="49">
        <v>0.15</v>
      </c>
      <c r="Q11" s="31">
        <f t="shared" si="12"/>
        <v>5355.3719003434944</v>
      </c>
      <c r="R11" s="28">
        <f t="shared" si="19"/>
        <v>1</v>
      </c>
      <c r="S11" s="31">
        <f t="shared" si="13"/>
        <v>5355.1240996381448</v>
      </c>
      <c r="T11" s="31">
        <f t="shared" si="14"/>
        <v>1338.7810249095362</v>
      </c>
      <c r="U11" s="31">
        <f t="shared" si="15"/>
        <v>334.69525622738405</v>
      </c>
      <c r="V11" s="46">
        <f t="shared" si="20"/>
        <v>8.8309128738492557</v>
      </c>
    </row>
    <row r="12" spans="1:22" x14ac:dyDescent="0.25">
      <c r="A12" s="28" t="s">
        <v>1767</v>
      </c>
      <c r="B12" s="28">
        <f t="shared" si="21"/>
        <v>20</v>
      </c>
      <c r="C12" s="49">
        <f t="shared" si="16"/>
        <v>4</v>
      </c>
      <c r="D12">
        <f t="shared" si="1"/>
        <v>14400</v>
      </c>
      <c r="E12" s="31">
        <f t="shared" si="2"/>
        <v>938.98</v>
      </c>
      <c r="F12" s="49">
        <f t="shared" si="3"/>
        <v>26.6</v>
      </c>
      <c r="G12">
        <f t="shared" si="4"/>
        <v>26600</v>
      </c>
      <c r="H12" s="49">
        <f t="shared" si="17"/>
        <v>11.3</v>
      </c>
      <c r="I12">
        <f t="shared" si="5"/>
        <v>40680</v>
      </c>
      <c r="J12">
        <f t="shared" si="6"/>
        <v>40.68</v>
      </c>
      <c r="K12" s="80">
        <f t="shared" si="7"/>
        <v>0.42481203007518797</v>
      </c>
      <c r="L12" s="80">
        <f t="shared" si="8"/>
        <v>1.5293233082706765</v>
      </c>
      <c r="M12" s="46">
        <f t="shared" si="9"/>
        <v>1.7699115044247786</v>
      </c>
      <c r="N12" s="46">
        <f t="shared" si="10"/>
        <v>6.117293233082707</v>
      </c>
      <c r="O12" s="46">
        <f t="shared" si="18"/>
        <v>1.7660098854304895</v>
      </c>
      <c r="P12" s="49">
        <v>0.15</v>
      </c>
      <c r="Q12" s="31">
        <f t="shared" si="12"/>
        <v>3814.5813525298572</v>
      </c>
      <c r="R12" s="28">
        <f t="shared" si="19"/>
        <v>1</v>
      </c>
      <c r="S12" s="31">
        <f t="shared" si="13"/>
        <v>3822.7434192148512</v>
      </c>
      <c r="T12" s="31">
        <f t="shared" si="14"/>
        <v>955.6858548037128</v>
      </c>
      <c r="U12" s="31">
        <f t="shared" si="15"/>
        <v>238.9214637009282</v>
      </c>
      <c r="V12" s="46">
        <f t="shared" si="20"/>
        <v>6.3039274993548817</v>
      </c>
    </row>
    <row r="13" spans="1:22" x14ac:dyDescent="0.25">
      <c r="A13" s="28" t="s">
        <v>249</v>
      </c>
      <c r="B13" s="28">
        <f t="shared" si="21"/>
        <v>20</v>
      </c>
      <c r="C13" s="49">
        <f t="shared" si="16"/>
        <v>8</v>
      </c>
      <c r="D13">
        <f t="shared" si="1"/>
        <v>28800</v>
      </c>
      <c r="E13" s="31">
        <f t="shared" si="2"/>
        <v>998.9899999999999</v>
      </c>
      <c r="F13" s="49">
        <f t="shared" si="3"/>
        <v>28.3</v>
      </c>
      <c r="G13">
        <f t="shared" si="4"/>
        <v>28300</v>
      </c>
      <c r="H13" s="49">
        <f t="shared" si="17"/>
        <v>23.1</v>
      </c>
      <c r="I13">
        <f t="shared" si="5"/>
        <v>83160</v>
      </c>
      <c r="J13">
        <f t="shared" si="6"/>
        <v>83.16</v>
      </c>
      <c r="K13" s="80">
        <f t="shared" si="7"/>
        <v>0.81625441696113077</v>
      </c>
      <c r="L13" s="80">
        <f t="shared" si="8"/>
        <v>2.9385159010600703</v>
      </c>
      <c r="M13" s="46">
        <f t="shared" si="9"/>
        <v>0.86580086580086579</v>
      </c>
      <c r="N13" s="46">
        <f t="shared" si="10"/>
        <v>23.508127208480566</v>
      </c>
      <c r="O13" s="46">
        <f t="shared" si="18"/>
        <v>0.86580086574741333</v>
      </c>
      <c r="P13" s="49">
        <v>0.15</v>
      </c>
      <c r="Q13" s="31">
        <f t="shared" si="12"/>
        <v>3740.2597400288255</v>
      </c>
      <c r="R13" s="28">
        <f t="shared" si="19"/>
        <v>1</v>
      </c>
      <c r="S13" s="31">
        <f t="shared" si="13"/>
        <v>3740.1299231189846</v>
      </c>
      <c r="T13" s="31">
        <f t="shared" si="14"/>
        <v>935.03248077974615</v>
      </c>
      <c r="U13" s="31">
        <f t="shared" si="15"/>
        <v>233.75812019493654</v>
      </c>
      <c r="V13" s="46">
        <f t="shared" si="20"/>
        <v>6.1676930120390825</v>
      </c>
    </row>
    <row r="14" spans="1:22" x14ac:dyDescent="0.25">
      <c r="A14" s="28"/>
      <c r="B14" s="28"/>
      <c r="C14" s="49"/>
      <c r="E14" s="31"/>
      <c r="F14" s="49"/>
      <c r="H14" s="49"/>
      <c r="K14" s="80"/>
      <c r="L14" s="80"/>
      <c r="P14" s="49"/>
      <c r="Q14" s="31"/>
      <c r="R14" s="28"/>
      <c r="S14" s="31"/>
      <c r="T14" s="31"/>
      <c r="U14" s="31"/>
    </row>
    <row r="15" spans="1:22" x14ac:dyDescent="0.25">
      <c r="A15" t="s">
        <v>1827</v>
      </c>
      <c r="B15" s="28"/>
      <c r="C15" s="49"/>
      <c r="E15" s="31"/>
      <c r="F15" s="49"/>
      <c r="H15" s="49"/>
      <c r="K15" s="80"/>
      <c r="L15" s="80"/>
      <c r="P15" s="49"/>
      <c r="Q15" s="31"/>
      <c r="R15" s="28"/>
      <c r="S15" s="31"/>
      <c r="T15" s="31"/>
      <c r="U15" s="31"/>
    </row>
    <row r="16" spans="1:22" x14ac:dyDescent="0.25">
      <c r="A16" s="28" t="s">
        <v>1821</v>
      </c>
      <c r="B16" s="28"/>
      <c r="C16" s="49"/>
      <c r="E16" s="31"/>
      <c r="F16" s="49"/>
      <c r="H16" s="49"/>
      <c r="K16" s="80"/>
      <c r="L16" s="80"/>
      <c r="P16" s="49"/>
      <c r="Q16" s="31"/>
      <c r="R16" s="28"/>
      <c r="S16" s="31"/>
      <c r="T16" s="31"/>
      <c r="U16" s="31"/>
    </row>
    <row r="17" spans="1:17" x14ac:dyDescent="0.25">
      <c r="A17" s="28" t="s">
        <v>1809</v>
      </c>
      <c r="B17" s="28"/>
      <c r="C17" s="28"/>
      <c r="F17" s="28"/>
      <c r="G17" s="28"/>
      <c r="J17" s="80"/>
      <c r="K17" s="80"/>
      <c r="L17" s="80"/>
      <c r="N17" s="31"/>
      <c r="O17" s="49"/>
    </row>
    <row r="18" spans="1:17" x14ac:dyDescent="0.25">
      <c r="A18" s="28" t="s">
        <v>1788</v>
      </c>
      <c r="B18" s="28"/>
      <c r="C18" s="28"/>
      <c r="D18" s="28"/>
      <c r="E18" s="28"/>
      <c r="J18" s="28"/>
      <c r="N18" s="31"/>
    </row>
    <row r="19" spans="1:17" x14ac:dyDescent="0.25">
      <c r="A19" s="28" t="s">
        <v>1793</v>
      </c>
      <c r="B19" s="28"/>
      <c r="C19" s="28"/>
      <c r="D19" s="28"/>
      <c r="E19" s="28"/>
      <c r="J19" s="28"/>
      <c r="N19" s="31"/>
    </row>
    <row r="20" spans="1:17" x14ac:dyDescent="0.25">
      <c r="A20" s="28" t="s">
        <v>1796</v>
      </c>
      <c r="B20" s="28"/>
      <c r="C20" s="28"/>
      <c r="D20" s="28"/>
      <c r="E20" s="28"/>
      <c r="J20" s="28"/>
      <c r="N20" s="31"/>
    </row>
    <row r="21" spans="1:17" x14ac:dyDescent="0.25">
      <c r="A21" s="28" t="s">
        <v>1801</v>
      </c>
      <c r="B21" s="28"/>
      <c r="C21" s="28"/>
      <c r="D21" s="28"/>
      <c r="E21" s="28"/>
      <c r="J21" s="28"/>
      <c r="N21" s="31"/>
    </row>
    <row r="22" spans="1:17" x14ac:dyDescent="0.25">
      <c r="A22" s="28"/>
      <c r="B22" s="28"/>
      <c r="C22" s="28"/>
      <c r="D22" s="28"/>
      <c r="E22" s="28"/>
      <c r="J22" s="28"/>
      <c r="N22" s="31"/>
    </row>
    <row r="23" spans="1:17" x14ac:dyDescent="0.25">
      <c r="A23" t="s">
        <v>1828</v>
      </c>
      <c r="B23" s="28"/>
      <c r="C23" s="28"/>
      <c r="D23" s="28"/>
      <c r="E23" s="28"/>
      <c r="J23" s="28"/>
      <c r="N23" s="31"/>
    </row>
    <row r="24" spans="1:17" x14ac:dyDescent="0.25">
      <c r="A24" s="28" t="s">
        <v>1822</v>
      </c>
      <c r="B24" s="28"/>
      <c r="C24" s="28"/>
      <c r="D24" s="28"/>
      <c r="E24" s="28"/>
      <c r="J24" s="28"/>
      <c r="N24" s="31"/>
    </row>
    <row r="25" spans="1:17" x14ac:dyDescent="0.25">
      <c r="A25" s="28" t="s">
        <v>1797</v>
      </c>
      <c r="B25" s="28"/>
      <c r="C25" s="28"/>
      <c r="D25" s="28"/>
      <c r="E25" s="28"/>
      <c r="J25" s="28"/>
      <c r="N25" s="31"/>
    </row>
    <row r="26" spans="1:17" x14ac:dyDescent="0.25">
      <c r="A26" s="28" t="s">
        <v>1798</v>
      </c>
      <c r="B26" s="28"/>
      <c r="C26" s="28"/>
      <c r="D26" s="28"/>
      <c r="E26" s="28"/>
      <c r="J26" s="28"/>
      <c r="N26" s="31"/>
    </row>
    <row r="27" spans="1:17" x14ac:dyDescent="0.25">
      <c r="A27" s="28" t="s">
        <v>1799</v>
      </c>
      <c r="B27" s="28"/>
      <c r="C27" s="28"/>
      <c r="D27" s="28"/>
      <c r="E27" s="28"/>
      <c r="J27" s="28"/>
      <c r="N27" s="31"/>
    </row>
    <row r="28" spans="1:17" x14ac:dyDescent="0.25">
      <c r="A28" s="28"/>
      <c r="B28" s="28"/>
      <c r="C28" s="28"/>
      <c r="D28" s="28"/>
      <c r="E28" s="28"/>
      <c r="J28" s="28"/>
      <c r="N28" s="31"/>
    </row>
    <row r="29" spans="1:17" x14ac:dyDescent="0.25">
      <c r="A29" t="s">
        <v>1828</v>
      </c>
      <c r="B29" s="28"/>
      <c r="C29" s="28"/>
      <c r="D29" s="28"/>
      <c r="E29" s="28"/>
      <c r="J29" s="28"/>
      <c r="N29" s="31"/>
    </row>
    <row r="30" spans="1:17" s="2" customFormat="1" ht="105" x14ac:dyDescent="0.25">
      <c r="A30" s="79"/>
      <c r="B30" s="79" t="s">
        <v>1814</v>
      </c>
      <c r="C30" s="79" t="s">
        <v>1772</v>
      </c>
      <c r="D30" s="79"/>
      <c r="E30" s="79"/>
      <c r="F30" s="79" t="s">
        <v>1824</v>
      </c>
      <c r="G30" s="79"/>
      <c r="H30" s="79" t="s">
        <v>1777</v>
      </c>
      <c r="I30" s="79" t="s">
        <v>1778</v>
      </c>
      <c r="J30" s="79" t="s">
        <v>1779</v>
      </c>
      <c r="K30" s="79" t="s">
        <v>1780</v>
      </c>
      <c r="L30" s="79"/>
      <c r="M30" s="79" t="s">
        <v>1781</v>
      </c>
      <c r="N30" s="79" t="s">
        <v>1785</v>
      </c>
      <c r="O30" s="79" t="s">
        <v>1782</v>
      </c>
      <c r="P30" s="79" t="s">
        <v>1783</v>
      </c>
      <c r="Q30" s="79" t="s">
        <v>1784</v>
      </c>
    </row>
    <row r="31" spans="1:17" x14ac:dyDescent="0.25">
      <c r="B31" s="28" t="s">
        <v>1768</v>
      </c>
      <c r="C31" s="28" t="s">
        <v>1771</v>
      </c>
      <c r="D31" s="28" t="s">
        <v>1773</v>
      </c>
      <c r="E31" s="28"/>
      <c r="F31" s="28" t="s">
        <v>1775</v>
      </c>
      <c r="G31" s="28" t="s">
        <v>1774</v>
      </c>
      <c r="H31" s="28" t="s">
        <v>1776</v>
      </c>
    </row>
    <row r="32" spans="1:17" x14ac:dyDescent="0.25">
      <c r="A32" s="28" t="s">
        <v>1761</v>
      </c>
      <c r="B32" s="49">
        <v>0.7</v>
      </c>
      <c r="C32" s="49">
        <v>0.5</v>
      </c>
      <c r="D32" s="49">
        <v>0.65</v>
      </c>
      <c r="E32" s="49"/>
      <c r="F32" s="49">
        <v>8.9</v>
      </c>
      <c r="G32" s="49">
        <v>13.1</v>
      </c>
      <c r="H32" s="49">
        <v>72.7</v>
      </c>
      <c r="I32" s="49">
        <v>3.5</v>
      </c>
      <c r="J32" s="49">
        <v>0</v>
      </c>
      <c r="K32" s="49">
        <v>0</v>
      </c>
      <c r="L32" s="49"/>
      <c r="M32" s="49">
        <v>54</v>
      </c>
      <c r="N32" s="49">
        <v>10.199999999999999</v>
      </c>
      <c r="O32" s="49">
        <v>12.7</v>
      </c>
      <c r="P32" s="49">
        <v>3586</v>
      </c>
      <c r="Q32" s="49">
        <v>2.4</v>
      </c>
    </row>
    <row r="33" spans="1:17" x14ac:dyDescent="0.25">
      <c r="A33" s="28" t="s">
        <v>1829</v>
      </c>
      <c r="B33" s="49">
        <v>1</v>
      </c>
      <c r="C33" s="49">
        <v>6</v>
      </c>
      <c r="D33" s="49">
        <v>0.65</v>
      </c>
      <c r="E33" s="49"/>
      <c r="F33" s="49">
        <v>6.1</v>
      </c>
      <c r="G33" s="49">
        <v>6.1</v>
      </c>
      <c r="H33" s="49">
        <v>15.3</v>
      </c>
      <c r="I33" s="49">
        <v>4.2</v>
      </c>
      <c r="J33" s="49">
        <v>5.2</v>
      </c>
      <c r="K33" s="49">
        <v>100</v>
      </c>
      <c r="L33" s="49"/>
      <c r="M33" s="49">
        <v>0</v>
      </c>
      <c r="N33" s="49">
        <v>0</v>
      </c>
      <c r="O33" s="49">
        <v>0.15</v>
      </c>
      <c r="P33" s="49">
        <v>1829</v>
      </c>
      <c r="Q33" s="49">
        <v>1.8</v>
      </c>
    </row>
    <row r="34" spans="1:17" x14ac:dyDescent="0.25">
      <c r="A34" s="28" t="s">
        <v>1763</v>
      </c>
      <c r="B34" s="49">
        <v>1.6</v>
      </c>
      <c r="C34" s="49">
        <v>14</v>
      </c>
      <c r="D34" s="49">
        <v>1</v>
      </c>
      <c r="E34" s="49"/>
      <c r="F34" s="49">
        <v>11.8</v>
      </c>
      <c r="G34" s="49">
        <v>7.4</v>
      </c>
      <c r="H34" s="49">
        <v>12.8</v>
      </c>
      <c r="I34" s="49">
        <v>5.7</v>
      </c>
      <c r="J34" s="49">
        <v>6.1</v>
      </c>
      <c r="K34" s="49">
        <v>100</v>
      </c>
      <c r="L34" s="49"/>
      <c r="M34" s="49">
        <v>0</v>
      </c>
      <c r="N34" s="49">
        <v>0</v>
      </c>
      <c r="O34" s="49">
        <v>0.18</v>
      </c>
      <c r="P34" s="49">
        <v>1721</v>
      </c>
      <c r="Q34" s="49">
        <v>2.7</v>
      </c>
    </row>
    <row r="35" spans="1:17" x14ac:dyDescent="0.25">
      <c r="A35" s="28" t="s">
        <v>1764</v>
      </c>
      <c r="B35" s="49">
        <v>8.1</v>
      </c>
      <c r="C35" s="49">
        <v>6</v>
      </c>
      <c r="D35" s="49">
        <v>1</v>
      </c>
      <c r="E35" s="49"/>
      <c r="F35" s="49">
        <v>10.9</v>
      </c>
      <c r="G35" s="49">
        <v>1.3</v>
      </c>
      <c r="H35" s="49">
        <v>3</v>
      </c>
      <c r="I35" s="49">
        <v>6.1</v>
      </c>
      <c r="J35" s="49">
        <v>13.7</v>
      </c>
      <c r="K35" s="49">
        <v>30</v>
      </c>
      <c r="L35" s="49"/>
      <c r="M35" s="49">
        <v>0.3</v>
      </c>
      <c r="N35" s="49">
        <v>0.7</v>
      </c>
      <c r="O35" s="49">
        <v>0.06</v>
      </c>
      <c r="P35" s="49">
        <v>376</v>
      </c>
      <c r="Q35" s="49">
        <v>3</v>
      </c>
    </row>
    <row r="36" spans="1:17" x14ac:dyDescent="0.25">
      <c r="A36" s="28" t="s">
        <v>1765</v>
      </c>
      <c r="B36" s="49">
        <v>10.199999999999999</v>
      </c>
      <c r="C36" s="49">
        <v>4</v>
      </c>
      <c r="D36" s="49">
        <v>1</v>
      </c>
      <c r="E36" s="49"/>
      <c r="F36" s="49">
        <v>10.6</v>
      </c>
      <c r="G36" s="49">
        <v>1</v>
      </c>
      <c r="H36" s="49">
        <v>1.2</v>
      </c>
      <c r="I36" s="49">
        <v>2.7</v>
      </c>
      <c r="J36" s="49">
        <v>23.6</v>
      </c>
      <c r="K36" s="49">
        <v>30</v>
      </c>
      <c r="L36" s="49"/>
      <c r="M36" s="49">
        <v>0.3</v>
      </c>
      <c r="N36" s="49">
        <v>0.9</v>
      </c>
      <c r="O36" s="49">
        <v>0.2</v>
      </c>
      <c r="P36" s="49">
        <v>893</v>
      </c>
      <c r="Q36" s="49">
        <v>9.1</v>
      </c>
    </row>
    <row r="37" spans="1:17" x14ac:dyDescent="0.25">
      <c r="A37" s="28" t="s">
        <v>1766</v>
      </c>
      <c r="B37" s="49">
        <v>11.3</v>
      </c>
      <c r="C37" s="49">
        <v>6</v>
      </c>
      <c r="D37" s="49">
        <v>1</v>
      </c>
      <c r="E37" s="49"/>
      <c r="F37" s="49">
        <v>12.1</v>
      </c>
      <c r="G37" s="49">
        <v>1.1000000000000001</v>
      </c>
      <c r="H37" s="49">
        <v>2.5</v>
      </c>
      <c r="I37" s="49">
        <v>7.7</v>
      </c>
      <c r="J37" s="49">
        <v>13.7</v>
      </c>
      <c r="K37" s="49">
        <v>30</v>
      </c>
      <c r="L37" s="49"/>
      <c r="M37" s="49">
        <v>0.3</v>
      </c>
      <c r="N37" s="49">
        <v>0.9</v>
      </c>
      <c r="O37" s="49">
        <v>0.05</v>
      </c>
      <c r="P37" s="49">
        <v>269</v>
      </c>
      <c r="Q37" s="49">
        <v>3</v>
      </c>
    </row>
    <row r="38" spans="1:17" x14ac:dyDescent="0.25">
      <c r="A38" s="28" t="s">
        <v>1767</v>
      </c>
      <c r="B38" s="49">
        <v>26.6</v>
      </c>
      <c r="C38" s="49">
        <v>4</v>
      </c>
      <c r="D38" s="49">
        <v>0.9</v>
      </c>
      <c r="E38" s="49"/>
      <c r="F38" s="49">
        <v>11.3</v>
      </c>
      <c r="G38" s="49">
        <v>0.4</v>
      </c>
      <c r="H38" s="49">
        <v>1.7</v>
      </c>
      <c r="I38" s="49">
        <v>10.4</v>
      </c>
      <c r="J38" s="49">
        <v>0</v>
      </c>
      <c r="K38" s="49">
        <v>0</v>
      </c>
      <c r="L38" s="49"/>
      <c r="M38" s="49">
        <v>0.3</v>
      </c>
      <c r="N38" s="49">
        <v>2.2000000000000002</v>
      </c>
      <c r="O38" s="49">
        <v>0.34</v>
      </c>
      <c r="P38" s="49">
        <v>3819</v>
      </c>
      <c r="Q38" s="49">
        <v>101.5</v>
      </c>
    </row>
    <row r="39" spans="1:17" x14ac:dyDescent="0.25">
      <c r="A39" s="28" t="s">
        <v>249</v>
      </c>
      <c r="B39" s="49">
        <v>28.3</v>
      </c>
      <c r="C39" s="49">
        <v>8</v>
      </c>
      <c r="D39" s="49">
        <v>1</v>
      </c>
      <c r="E39" s="49"/>
      <c r="F39" s="49">
        <v>23.1</v>
      </c>
      <c r="G39" s="49">
        <v>0.8</v>
      </c>
      <c r="H39" s="49">
        <v>1.5</v>
      </c>
      <c r="I39" s="49">
        <v>9.4</v>
      </c>
      <c r="J39" s="49">
        <v>37.799999999999997</v>
      </c>
      <c r="K39" s="49">
        <v>30</v>
      </c>
      <c r="L39" s="49"/>
      <c r="M39" s="49">
        <v>0.3</v>
      </c>
      <c r="N39" s="49">
        <v>2.4</v>
      </c>
      <c r="O39" s="49">
        <v>0.04</v>
      </c>
      <c r="P39" s="49">
        <v>108</v>
      </c>
      <c r="Q39" s="49">
        <v>3</v>
      </c>
    </row>
    <row r="40" spans="1:17" x14ac:dyDescent="0.25">
      <c r="B40" s="28"/>
      <c r="C40" s="28"/>
      <c r="D40" s="28"/>
      <c r="E40" s="28"/>
      <c r="H40" s="28"/>
      <c r="Q40" s="165"/>
    </row>
    <row r="41" spans="1:17" x14ac:dyDescent="0.25">
      <c r="A41" t="s">
        <v>1827</v>
      </c>
      <c r="B41" s="28"/>
      <c r="C41" s="28"/>
      <c r="D41" s="28"/>
      <c r="E41" s="28"/>
      <c r="H41" s="28"/>
    </row>
    <row r="42" spans="1:17" ht="120" x14ac:dyDescent="0.25">
      <c r="A42" s="32" t="s">
        <v>1469</v>
      </c>
      <c r="B42" s="42" t="s">
        <v>1815</v>
      </c>
      <c r="C42" s="42" t="s">
        <v>1816</v>
      </c>
      <c r="D42" s="42" t="s">
        <v>1757</v>
      </c>
      <c r="E42" s="42"/>
      <c r="F42" s="42" t="s">
        <v>1758</v>
      </c>
      <c r="G42" s="42" t="s">
        <v>1787</v>
      </c>
      <c r="H42" s="42" t="s">
        <v>1759</v>
      </c>
      <c r="I42" s="42" t="s">
        <v>1760</v>
      </c>
      <c r="J42" s="32" t="s">
        <v>388</v>
      </c>
    </row>
    <row r="43" spans="1:17" ht="45" x14ac:dyDescent="0.25">
      <c r="A43" s="33"/>
      <c r="B43" s="42" t="s">
        <v>1768</v>
      </c>
      <c r="C43" s="42" t="s">
        <v>1769</v>
      </c>
      <c r="D43" s="42" t="s">
        <v>1769</v>
      </c>
      <c r="E43" s="42"/>
      <c r="F43" s="42" t="s">
        <v>1769</v>
      </c>
      <c r="G43" s="42" t="s">
        <v>1786</v>
      </c>
      <c r="H43" s="42"/>
      <c r="I43" s="42"/>
      <c r="J43" s="42"/>
    </row>
    <row r="44" spans="1:17" x14ac:dyDescent="0.25">
      <c r="A44" s="28" t="s">
        <v>1761</v>
      </c>
      <c r="B44" s="28">
        <v>0.7</v>
      </c>
      <c r="C44" s="28">
        <v>8.9</v>
      </c>
      <c r="D44">
        <f>C44*3600</f>
        <v>32040</v>
      </c>
      <c r="F44">
        <f>D44/1000</f>
        <v>32.04</v>
      </c>
      <c r="G44" s="80">
        <f>F44/B44</f>
        <v>45.771428571428572</v>
      </c>
      <c r="H44" s="28">
        <v>72.7</v>
      </c>
      <c r="I44" s="80">
        <f>G44-H44</f>
        <v>-26.928571428571431</v>
      </c>
      <c r="J44" t="s">
        <v>1762</v>
      </c>
    </row>
    <row r="45" spans="1:17" x14ac:dyDescent="0.25">
      <c r="A45" s="28" t="s">
        <v>1829</v>
      </c>
      <c r="B45" s="28">
        <v>1</v>
      </c>
      <c r="C45" s="28">
        <v>6.1</v>
      </c>
      <c r="D45">
        <f t="shared" ref="D45:D51" si="22">C45*3600</f>
        <v>21960</v>
      </c>
      <c r="F45">
        <f t="shared" ref="F45:F51" si="23">D45/1000</f>
        <v>21.96</v>
      </c>
      <c r="G45" s="80">
        <f t="shared" ref="G45:G51" si="24">F45/B45</f>
        <v>21.96</v>
      </c>
      <c r="H45" s="28">
        <v>15.3</v>
      </c>
      <c r="I45" s="80">
        <f t="shared" ref="I45:I51" si="25">G45-H45</f>
        <v>6.66</v>
      </c>
    </row>
    <row r="46" spans="1:17" x14ac:dyDescent="0.25">
      <c r="A46" s="28" t="s">
        <v>1763</v>
      </c>
      <c r="B46" s="28">
        <v>1.6</v>
      </c>
      <c r="C46" s="28">
        <v>11.8</v>
      </c>
      <c r="D46">
        <f t="shared" si="22"/>
        <v>42480</v>
      </c>
      <c r="F46">
        <f t="shared" si="23"/>
        <v>42.48</v>
      </c>
      <c r="G46" s="80">
        <f t="shared" si="24"/>
        <v>26.549999999999997</v>
      </c>
      <c r="H46" s="28">
        <v>12.8</v>
      </c>
      <c r="I46" s="80">
        <f t="shared" si="25"/>
        <v>13.749999999999996</v>
      </c>
    </row>
    <row r="47" spans="1:17" x14ac:dyDescent="0.25">
      <c r="A47" s="28" t="s">
        <v>1764</v>
      </c>
      <c r="B47" s="28">
        <v>8.1</v>
      </c>
      <c r="C47" s="28">
        <v>10.9</v>
      </c>
      <c r="D47">
        <f t="shared" si="22"/>
        <v>39240</v>
      </c>
      <c r="F47">
        <f t="shared" si="23"/>
        <v>39.24</v>
      </c>
      <c r="G47" s="80">
        <f t="shared" si="24"/>
        <v>4.844444444444445</v>
      </c>
      <c r="H47" s="28">
        <v>3</v>
      </c>
      <c r="I47" s="80">
        <f t="shared" si="25"/>
        <v>1.844444444444445</v>
      </c>
    </row>
    <row r="48" spans="1:17" x14ac:dyDescent="0.25">
      <c r="A48" s="28" t="s">
        <v>1765</v>
      </c>
      <c r="B48" s="28">
        <v>10.199999999999999</v>
      </c>
      <c r="C48" s="28">
        <v>10.6</v>
      </c>
      <c r="D48">
        <f t="shared" si="22"/>
        <v>38160</v>
      </c>
      <c r="F48">
        <f t="shared" si="23"/>
        <v>38.159999999999997</v>
      </c>
      <c r="G48" s="80">
        <f t="shared" si="24"/>
        <v>3.7411764705882353</v>
      </c>
      <c r="H48" s="28">
        <v>1.2</v>
      </c>
      <c r="I48" s="80">
        <f t="shared" si="25"/>
        <v>2.5411764705882351</v>
      </c>
    </row>
    <row r="49" spans="1:12" x14ac:dyDescent="0.25">
      <c r="A49" s="28" t="s">
        <v>1766</v>
      </c>
      <c r="B49" s="28">
        <v>11.3</v>
      </c>
      <c r="C49" s="28">
        <v>12.1</v>
      </c>
      <c r="D49">
        <f t="shared" si="22"/>
        <v>43560</v>
      </c>
      <c r="F49">
        <f t="shared" si="23"/>
        <v>43.56</v>
      </c>
      <c r="G49" s="80">
        <f t="shared" si="24"/>
        <v>3.854867256637168</v>
      </c>
      <c r="H49" s="28">
        <v>2.5</v>
      </c>
      <c r="I49" s="80">
        <f t="shared" si="25"/>
        <v>1.354867256637168</v>
      </c>
    </row>
    <row r="50" spans="1:12" x14ac:dyDescent="0.25">
      <c r="A50" s="28" t="s">
        <v>1767</v>
      </c>
      <c r="B50" s="28">
        <v>26.6</v>
      </c>
      <c r="C50" s="28">
        <v>11.3</v>
      </c>
      <c r="D50">
        <f t="shared" si="22"/>
        <v>40680</v>
      </c>
      <c r="F50">
        <f t="shared" si="23"/>
        <v>40.68</v>
      </c>
      <c r="G50" s="80">
        <f t="shared" si="24"/>
        <v>1.5293233082706765</v>
      </c>
      <c r="H50" s="28">
        <v>1.7</v>
      </c>
      <c r="I50" s="80">
        <f t="shared" si="25"/>
        <v>-0.17067669172932343</v>
      </c>
      <c r="J50" t="s">
        <v>1762</v>
      </c>
    </row>
    <row r="51" spans="1:12" x14ac:dyDescent="0.25">
      <c r="A51" s="28" t="s">
        <v>249</v>
      </c>
      <c r="B51" s="28">
        <v>28.3</v>
      </c>
      <c r="C51" s="28">
        <v>23.1</v>
      </c>
      <c r="D51">
        <f t="shared" si="22"/>
        <v>83160</v>
      </c>
      <c r="F51">
        <f t="shared" si="23"/>
        <v>83.16</v>
      </c>
      <c r="G51" s="80">
        <f t="shared" si="24"/>
        <v>2.9385159010600703</v>
      </c>
      <c r="H51" s="28">
        <v>1.5</v>
      </c>
      <c r="I51" s="80">
        <f t="shared" si="25"/>
        <v>1.4385159010600703</v>
      </c>
    </row>
    <row r="53" spans="1:12" ht="60" x14ac:dyDescent="0.25">
      <c r="A53" s="2"/>
      <c r="B53" s="2" t="s">
        <v>1749</v>
      </c>
      <c r="C53" s="2" t="s">
        <v>1754</v>
      </c>
      <c r="D53" s="2" t="s">
        <v>1750</v>
      </c>
      <c r="E53" s="2"/>
      <c r="F53" s="2" t="s">
        <v>1812</v>
      </c>
      <c r="G53" s="2" t="s">
        <v>1751</v>
      </c>
      <c r="H53" s="2" t="s">
        <v>1752</v>
      </c>
      <c r="I53" s="2" t="s">
        <v>1753</v>
      </c>
      <c r="J53" s="2" t="s">
        <v>1756</v>
      </c>
      <c r="K53" s="2" t="s">
        <v>1755</v>
      </c>
      <c r="L53" s="2"/>
    </row>
    <row r="54" spans="1:12" x14ac:dyDescent="0.25">
      <c r="A54">
        <v>1</v>
      </c>
      <c r="B54" s="28">
        <v>20</v>
      </c>
      <c r="C54" s="28">
        <v>1</v>
      </c>
      <c r="D54" s="28">
        <f>C54*3600</f>
        <v>3600</v>
      </c>
      <c r="E54" s="28"/>
      <c r="F54">
        <f>900*12</f>
        <v>10800</v>
      </c>
      <c r="G54">
        <f>F54*I54</f>
        <v>3</v>
      </c>
      <c r="H54" s="28">
        <v>1</v>
      </c>
      <c r="I54">
        <f>H54/3600</f>
        <v>2.7777777777777778E-4</v>
      </c>
      <c r="J54">
        <f>B54*D54/G54</f>
        <v>24000</v>
      </c>
      <c r="K54">
        <f>F54*D54/G54</f>
        <v>12960000</v>
      </c>
    </row>
    <row r="55" spans="1:12" x14ac:dyDescent="0.25">
      <c r="A55">
        <v>1</v>
      </c>
      <c r="B55" s="28">
        <v>20</v>
      </c>
      <c r="C55" s="28">
        <v>1</v>
      </c>
      <c r="D55" s="28">
        <f t="shared" ref="D55:D61" si="26">C55*3600</f>
        <v>3600</v>
      </c>
      <c r="E55" s="28"/>
      <c r="F55">
        <f t="shared" ref="F55:F58" si="27">900*12</f>
        <v>10800</v>
      </c>
      <c r="G55">
        <f t="shared" ref="G55:G61" si="28">F55*I55</f>
        <v>72</v>
      </c>
      <c r="H55" s="28">
        <v>24</v>
      </c>
      <c r="I55">
        <f t="shared" ref="I55:I61" si="29">H55/3600</f>
        <v>6.6666666666666671E-3</v>
      </c>
      <c r="J55">
        <f t="shared" ref="J55:J61" si="30">B55*D55/G55</f>
        <v>1000</v>
      </c>
      <c r="K55">
        <f t="shared" ref="K55:K61" si="31">F55*D55/G55</f>
        <v>540000</v>
      </c>
    </row>
    <row r="56" spans="1:12" x14ac:dyDescent="0.25">
      <c r="A56">
        <v>1</v>
      </c>
      <c r="B56" s="28">
        <v>20</v>
      </c>
      <c r="C56" s="28">
        <v>2</v>
      </c>
      <c r="D56" s="28">
        <f t="shared" si="26"/>
        <v>7200</v>
      </c>
      <c r="E56" s="28"/>
      <c r="F56">
        <f t="shared" si="27"/>
        <v>10800</v>
      </c>
      <c r="G56">
        <f t="shared" si="28"/>
        <v>144</v>
      </c>
      <c r="H56" s="28">
        <v>48</v>
      </c>
      <c r="I56">
        <f t="shared" si="29"/>
        <v>1.3333333333333334E-2</v>
      </c>
      <c r="J56">
        <f t="shared" si="30"/>
        <v>1000</v>
      </c>
      <c r="K56">
        <f t="shared" si="31"/>
        <v>540000</v>
      </c>
    </row>
    <row r="57" spans="1:12" x14ac:dyDescent="0.25">
      <c r="A57">
        <v>1</v>
      </c>
      <c r="B57" s="28">
        <v>20</v>
      </c>
      <c r="C57" s="28">
        <v>4</v>
      </c>
      <c r="D57" s="28">
        <f t="shared" si="26"/>
        <v>14400</v>
      </c>
      <c r="E57" s="28"/>
      <c r="F57">
        <f t="shared" si="27"/>
        <v>10800</v>
      </c>
      <c r="G57">
        <f t="shared" si="28"/>
        <v>288</v>
      </c>
      <c r="H57" s="28">
        <v>96</v>
      </c>
      <c r="I57">
        <f t="shared" si="29"/>
        <v>2.6666666666666668E-2</v>
      </c>
      <c r="J57">
        <f t="shared" si="30"/>
        <v>1000</v>
      </c>
      <c r="K57">
        <f t="shared" si="31"/>
        <v>540000</v>
      </c>
    </row>
    <row r="58" spans="1:12" x14ac:dyDescent="0.25">
      <c r="A58">
        <v>1</v>
      </c>
      <c r="B58" s="28">
        <v>20</v>
      </c>
      <c r="C58" s="28">
        <v>8</v>
      </c>
      <c r="D58" s="28">
        <f t="shared" si="26"/>
        <v>28800</v>
      </c>
      <c r="E58" s="28"/>
      <c r="F58">
        <f t="shared" si="27"/>
        <v>10800</v>
      </c>
      <c r="G58">
        <f t="shared" si="28"/>
        <v>576</v>
      </c>
      <c r="H58" s="28">
        <v>192</v>
      </c>
      <c r="I58">
        <f t="shared" si="29"/>
        <v>5.3333333333333337E-2</v>
      </c>
      <c r="J58">
        <f t="shared" si="30"/>
        <v>1000</v>
      </c>
      <c r="K58">
        <f t="shared" si="31"/>
        <v>540000</v>
      </c>
    </row>
    <row r="59" spans="1:12" x14ac:dyDescent="0.25">
      <c r="A59">
        <v>1</v>
      </c>
      <c r="B59" s="28">
        <v>20</v>
      </c>
      <c r="C59" s="28">
        <v>1</v>
      </c>
      <c r="D59" s="28">
        <f t="shared" si="26"/>
        <v>3600</v>
      </c>
      <c r="E59" s="28"/>
      <c r="F59">
        <f>900*12*10</f>
        <v>108000</v>
      </c>
      <c r="G59">
        <f t="shared" si="28"/>
        <v>68.999999999999986</v>
      </c>
      <c r="H59" s="28">
        <v>2.2999999999999998</v>
      </c>
      <c r="I59">
        <f t="shared" si="29"/>
        <v>6.3888888888888882E-4</v>
      </c>
      <c r="J59">
        <f t="shared" si="30"/>
        <v>1043.4782608695655</v>
      </c>
      <c r="K59">
        <f t="shared" si="31"/>
        <v>5634782.6086956533</v>
      </c>
    </row>
    <row r="60" spans="1:12" x14ac:dyDescent="0.25">
      <c r="A60">
        <v>1</v>
      </c>
      <c r="B60" s="28">
        <v>20</v>
      </c>
      <c r="C60" s="28">
        <v>4</v>
      </c>
      <c r="D60" s="28">
        <f t="shared" si="26"/>
        <v>14400</v>
      </c>
      <c r="E60" s="28"/>
      <c r="F60">
        <f t="shared" ref="F60:F61" si="32">900*12*10</f>
        <v>108000</v>
      </c>
      <c r="G60">
        <f t="shared" si="28"/>
        <v>275.99999999999994</v>
      </c>
      <c r="H60" s="28">
        <f>H59*C60</f>
        <v>9.1999999999999993</v>
      </c>
      <c r="I60">
        <f t="shared" si="29"/>
        <v>2.5555555555555553E-3</v>
      </c>
      <c r="J60">
        <f t="shared" si="30"/>
        <v>1043.4782608695655</v>
      </c>
      <c r="K60">
        <f t="shared" si="31"/>
        <v>5634782.6086956533</v>
      </c>
    </row>
    <row r="61" spans="1:12" x14ac:dyDescent="0.25">
      <c r="A61">
        <v>1</v>
      </c>
      <c r="B61" s="28">
        <v>20</v>
      </c>
      <c r="C61" s="28">
        <v>8</v>
      </c>
      <c r="D61" s="28">
        <f t="shared" si="26"/>
        <v>28800</v>
      </c>
      <c r="E61" s="28"/>
      <c r="F61">
        <f t="shared" si="32"/>
        <v>108000</v>
      </c>
      <c r="G61">
        <f t="shared" si="28"/>
        <v>551.99999999999989</v>
      </c>
      <c r="H61" s="28">
        <f>H59*C61</f>
        <v>18.399999999999999</v>
      </c>
      <c r="I61">
        <f t="shared" si="29"/>
        <v>5.1111111111111105E-3</v>
      </c>
      <c r="J61">
        <f t="shared" si="30"/>
        <v>1043.4782608695655</v>
      </c>
      <c r="K61">
        <f t="shared" si="31"/>
        <v>5634782.6086956533</v>
      </c>
    </row>
    <row r="62" spans="1:12" x14ac:dyDescent="0.25">
      <c r="B62" s="28"/>
      <c r="C62" s="28"/>
      <c r="D62" s="28"/>
      <c r="E62" s="28"/>
      <c r="H62" s="28"/>
    </row>
    <row r="64" spans="1:12" x14ac:dyDescent="0.25">
      <c r="A64" t="s">
        <v>1662</v>
      </c>
      <c r="C64" t="s">
        <v>1664</v>
      </c>
    </row>
    <row r="65" spans="1:4" x14ac:dyDescent="0.25">
      <c r="A65" t="s">
        <v>1663</v>
      </c>
    </row>
    <row r="67" spans="1:4" x14ac:dyDescent="0.25">
      <c r="A67" s="28" t="s">
        <v>1656</v>
      </c>
      <c r="D67" t="s">
        <v>1790</v>
      </c>
    </row>
    <row r="69" spans="1:4" x14ac:dyDescent="0.25">
      <c r="A69" t="s">
        <v>1648</v>
      </c>
    </row>
    <row r="70" spans="1:4" x14ac:dyDescent="0.25">
      <c r="A70" t="s">
        <v>1810</v>
      </c>
    </row>
    <row r="71" spans="1:4" x14ac:dyDescent="0.25">
      <c r="A71" t="s">
        <v>1770</v>
      </c>
    </row>
    <row r="72" spans="1:4" x14ac:dyDescent="0.25">
      <c r="A72" t="s">
        <v>1653</v>
      </c>
    </row>
    <row r="73" spans="1:4" x14ac:dyDescent="0.25">
      <c r="A73" t="s">
        <v>1654</v>
      </c>
    </row>
    <row r="74" spans="1:4" x14ac:dyDescent="0.25">
      <c r="A74" t="s">
        <v>1655</v>
      </c>
    </row>
    <row r="75" spans="1:4" x14ac:dyDescent="0.25">
      <c r="A75" t="s">
        <v>1657</v>
      </c>
    </row>
    <row r="77" spans="1:4" x14ac:dyDescent="0.25">
      <c r="A77" s="28" t="s">
        <v>1665</v>
      </c>
    </row>
    <row r="79" spans="1:4" x14ac:dyDescent="0.25">
      <c r="A79" t="s">
        <v>1646</v>
      </c>
    </row>
    <row r="80" spans="1:4" x14ac:dyDescent="0.25">
      <c r="A80" t="s">
        <v>1647</v>
      </c>
    </row>
    <row r="82" spans="1:10" x14ac:dyDescent="0.25">
      <c r="A82" t="s">
        <v>1659</v>
      </c>
      <c r="C82" t="s">
        <v>1661</v>
      </c>
    </row>
    <row r="83" spans="1:10" x14ac:dyDescent="0.25">
      <c r="A83" t="s">
        <v>1660</v>
      </c>
    </row>
    <row r="85" spans="1:10" x14ac:dyDescent="0.25">
      <c r="A85" s="28" t="s">
        <v>1652</v>
      </c>
      <c r="D85" t="s">
        <v>1792</v>
      </c>
    </row>
    <row r="87" spans="1:10" x14ac:dyDescent="0.25">
      <c r="A87" t="s">
        <v>1648</v>
      </c>
    </row>
    <row r="88" spans="1:10" x14ac:dyDescent="0.25">
      <c r="A88" t="s">
        <v>1650</v>
      </c>
    </row>
    <row r="89" spans="1:10" x14ac:dyDescent="0.25">
      <c r="A89" t="s">
        <v>1810</v>
      </c>
    </row>
    <row r="90" spans="1:10" x14ac:dyDescent="0.25">
      <c r="A90" t="s">
        <v>1649</v>
      </c>
    </row>
    <row r="91" spans="1:10" x14ac:dyDescent="0.25">
      <c r="A91" t="s">
        <v>1651</v>
      </c>
    </row>
    <row r="92" spans="1:10" x14ac:dyDescent="0.25">
      <c r="A92" t="s">
        <v>1654</v>
      </c>
    </row>
    <row r="94" spans="1:10" x14ac:dyDescent="0.25">
      <c r="A94" s="28" t="s">
        <v>1658</v>
      </c>
      <c r="J94" t="s">
        <v>1791</v>
      </c>
    </row>
    <row r="96" spans="1:10" x14ac:dyDescent="0.25">
      <c r="A96" t="s">
        <v>1646</v>
      </c>
    </row>
    <row r="97" spans="1:1" x14ac:dyDescent="0.25">
      <c r="A97" t="s">
        <v>1647</v>
      </c>
    </row>
    <row r="101" spans="1:1" x14ac:dyDescent="0.25">
      <c r="A101" t="s">
        <v>1826</v>
      </c>
    </row>
    <row r="102" spans="1:1" x14ac:dyDescent="0.25">
      <c r="A102" s="28" t="s">
        <v>1807</v>
      </c>
    </row>
    <row r="104" spans="1:1" x14ac:dyDescent="0.25">
      <c r="A104" t="s">
        <v>1804</v>
      </c>
    </row>
    <row r="105" spans="1:1" x14ac:dyDescent="0.25">
      <c r="A105" t="s">
        <v>1805</v>
      </c>
    </row>
    <row r="106" spans="1:1" x14ac:dyDescent="0.25">
      <c r="A106" t="s">
        <v>1806</v>
      </c>
    </row>
    <row r="107" spans="1:1" x14ac:dyDescent="0.25">
      <c r="A107" t="s">
        <v>1808</v>
      </c>
    </row>
  </sheetData>
  <pageMargins left="0.7" right="0.7" top="0.75" bottom="0.75" header="0.3" footer="0.3"/>
  <pageSetup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E6FF3-E074-41FD-9C0C-C44ABC985A1A}">
  <dimension ref="A1:O113"/>
  <sheetViews>
    <sheetView topLeftCell="A63" zoomScale="90" zoomScaleNormal="90" workbookViewId="0">
      <selection activeCell="C94" sqref="C94"/>
    </sheetView>
  </sheetViews>
  <sheetFormatPr defaultRowHeight="14.25" x14ac:dyDescent="0.2"/>
  <cols>
    <col min="1" max="1" width="14" style="129" bestFit="1" customWidth="1"/>
    <col min="2" max="2" width="12.7109375" style="129" bestFit="1" customWidth="1"/>
    <col min="3" max="3" width="10.140625" style="129" bestFit="1" customWidth="1"/>
    <col min="4" max="4" width="10.5703125" style="129" bestFit="1" customWidth="1"/>
    <col min="5" max="6" width="9.42578125" style="129" bestFit="1" customWidth="1"/>
    <col min="7" max="7" width="10.140625" style="129" bestFit="1" customWidth="1"/>
    <col min="8" max="8" width="9.42578125" style="129" bestFit="1" customWidth="1"/>
    <col min="9" max="16384" width="9.140625" style="129"/>
  </cols>
  <sheetData>
    <row r="1" spans="1:2" x14ac:dyDescent="0.2">
      <c r="A1" s="129" t="s">
        <v>1264</v>
      </c>
      <c r="B1" s="129" t="s">
        <v>1603</v>
      </c>
    </row>
    <row r="2" spans="1:2" x14ac:dyDescent="0.2">
      <c r="A2" s="130">
        <v>6755</v>
      </c>
      <c r="B2" s="129">
        <v>0</v>
      </c>
    </row>
    <row r="3" spans="1:2" x14ac:dyDescent="0.2">
      <c r="A3" s="130">
        <f>A2+7</f>
        <v>6762</v>
      </c>
      <c r="B3" s="129">
        <v>4</v>
      </c>
    </row>
    <row r="4" spans="1:2" x14ac:dyDescent="0.2">
      <c r="A4" s="130">
        <f t="shared" ref="A4:A45" si="0">A3+7</f>
        <v>6769</v>
      </c>
      <c r="B4" s="129">
        <v>5</v>
      </c>
    </row>
    <row r="5" spans="1:2" x14ac:dyDescent="0.2">
      <c r="A5" s="130">
        <f t="shared" si="0"/>
        <v>6776</v>
      </c>
      <c r="B5" s="129">
        <v>4.5</v>
      </c>
    </row>
    <row r="6" spans="1:2" x14ac:dyDescent="0.2">
      <c r="A6" s="130">
        <f t="shared" si="0"/>
        <v>6783</v>
      </c>
      <c r="B6" s="129">
        <v>2</v>
      </c>
    </row>
    <row r="7" spans="1:2" x14ac:dyDescent="0.2">
      <c r="A7" s="130">
        <f t="shared" si="0"/>
        <v>6790</v>
      </c>
      <c r="B7" s="129">
        <v>1</v>
      </c>
    </row>
    <row r="8" spans="1:2" x14ac:dyDescent="0.2">
      <c r="A8" s="130">
        <f t="shared" si="0"/>
        <v>6797</v>
      </c>
      <c r="B8" s="129">
        <v>0.5</v>
      </c>
    </row>
    <row r="9" spans="1:2" x14ac:dyDescent="0.2">
      <c r="A9" s="130">
        <f t="shared" si="0"/>
        <v>6804</v>
      </c>
      <c r="B9" s="129">
        <v>1</v>
      </c>
    </row>
    <row r="10" spans="1:2" x14ac:dyDescent="0.2">
      <c r="A10" s="130">
        <f t="shared" si="0"/>
        <v>6811</v>
      </c>
      <c r="B10" s="129">
        <v>1</v>
      </c>
    </row>
    <row r="11" spans="1:2" x14ac:dyDescent="0.2">
      <c r="A11" s="130">
        <f t="shared" si="0"/>
        <v>6818</v>
      </c>
      <c r="B11" s="129">
        <v>1</v>
      </c>
    </row>
    <row r="12" spans="1:2" x14ac:dyDescent="0.2">
      <c r="A12" s="130">
        <f t="shared" si="0"/>
        <v>6825</v>
      </c>
      <c r="B12" s="129">
        <v>1</v>
      </c>
    </row>
    <row r="13" spans="1:2" x14ac:dyDescent="0.2">
      <c r="A13" s="130">
        <f t="shared" si="0"/>
        <v>6832</v>
      </c>
      <c r="B13" s="129">
        <v>1</v>
      </c>
    </row>
    <row r="14" spans="1:2" x14ac:dyDescent="0.2">
      <c r="A14" s="130">
        <f t="shared" si="0"/>
        <v>6839</v>
      </c>
      <c r="B14" s="129">
        <v>1</v>
      </c>
    </row>
    <row r="15" spans="1:2" x14ac:dyDescent="0.2">
      <c r="A15" s="130">
        <f t="shared" si="0"/>
        <v>6846</v>
      </c>
      <c r="B15" s="129">
        <v>1</v>
      </c>
    </row>
    <row r="16" spans="1:2" x14ac:dyDescent="0.2">
      <c r="A16" s="130">
        <f t="shared" si="0"/>
        <v>6853</v>
      </c>
      <c r="B16" s="129">
        <v>3</v>
      </c>
    </row>
    <row r="17" spans="1:4" x14ac:dyDescent="0.2">
      <c r="A17" s="130">
        <f t="shared" si="0"/>
        <v>6860</v>
      </c>
      <c r="B17" s="129">
        <v>5</v>
      </c>
    </row>
    <row r="18" spans="1:4" x14ac:dyDescent="0.2">
      <c r="A18" s="130">
        <f t="shared" si="0"/>
        <v>6867</v>
      </c>
      <c r="B18" s="129">
        <v>8</v>
      </c>
    </row>
    <row r="19" spans="1:4" x14ac:dyDescent="0.2">
      <c r="A19" s="130">
        <f t="shared" si="0"/>
        <v>6874</v>
      </c>
      <c r="B19" s="129">
        <v>12</v>
      </c>
    </row>
    <row r="20" spans="1:4" x14ac:dyDescent="0.2">
      <c r="A20" s="130">
        <f t="shared" si="0"/>
        <v>6881</v>
      </c>
      <c r="B20" s="129">
        <v>22</v>
      </c>
    </row>
    <row r="21" spans="1:4" ht="15" x14ac:dyDescent="0.25">
      <c r="A21" s="130">
        <f t="shared" si="0"/>
        <v>6888</v>
      </c>
      <c r="B21" s="129">
        <v>24</v>
      </c>
      <c r="D21" s="138" t="s">
        <v>1606</v>
      </c>
    </row>
    <row r="22" spans="1:4" x14ac:dyDescent="0.2">
      <c r="A22" s="130">
        <f t="shared" si="0"/>
        <v>6895</v>
      </c>
      <c r="B22" s="129">
        <v>19</v>
      </c>
      <c r="D22" s="129" t="s">
        <v>1607</v>
      </c>
    </row>
    <row r="23" spans="1:4" x14ac:dyDescent="0.2">
      <c r="A23" s="130">
        <f t="shared" si="0"/>
        <v>6902</v>
      </c>
      <c r="B23" s="129">
        <v>18</v>
      </c>
      <c r="D23" s="129" t="s">
        <v>1608</v>
      </c>
    </row>
    <row r="24" spans="1:4" x14ac:dyDescent="0.2">
      <c r="A24" s="130">
        <f t="shared" si="0"/>
        <v>6909</v>
      </c>
      <c r="B24" s="129">
        <v>17</v>
      </c>
      <c r="D24" s="129" t="s">
        <v>1605</v>
      </c>
    </row>
    <row r="25" spans="1:4" x14ac:dyDescent="0.2">
      <c r="A25" s="130">
        <f t="shared" si="0"/>
        <v>6916</v>
      </c>
      <c r="B25" s="129">
        <v>12</v>
      </c>
      <c r="D25" s="129" t="s">
        <v>1609</v>
      </c>
    </row>
    <row r="26" spans="1:4" x14ac:dyDescent="0.2">
      <c r="A26" s="130">
        <f t="shared" si="0"/>
        <v>6923</v>
      </c>
      <c r="B26" s="129">
        <v>6</v>
      </c>
      <c r="D26" s="129" t="s">
        <v>1610</v>
      </c>
    </row>
    <row r="27" spans="1:4" x14ac:dyDescent="0.2">
      <c r="A27" s="130">
        <f t="shared" si="0"/>
        <v>6930</v>
      </c>
      <c r="B27" s="129">
        <v>4</v>
      </c>
    </row>
    <row r="28" spans="1:4" x14ac:dyDescent="0.2">
      <c r="A28" s="130">
        <f t="shared" si="0"/>
        <v>6937</v>
      </c>
      <c r="B28" s="129">
        <v>2</v>
      </c>
    </row>
    <row r="29" spans="1:4" x14ac:dyDescent="0.2">
      <c r="A29" s="130">
        <f t="shared" si="0"/>
        <v>6944</v>
      </c>
      <c r="B29" s="129">
        <v>1.5</v>
      </c>
    </row>
    <row r="30" spans="1:4" x14ac:dyDescent="0.2">
      <c r="A30" s="130">
        <f t="shared" si="0"/>
        <v>6951</v>
      </c>
      <c r="B30" s="129">
        <v>1.5</v>
      </c>
    </row>
    <row r="31" spans="1:4" x14ac:dyDescent="0.2">
      <c r="A31" s="130">
        <f t="shared" si="0"/>
        <v>6958</v>
      </c>
      <c r="B31" s="129">
        <v>1.2</v>
      </c>
    </row>
    <row r="32" spans="1:4" x14ac:dyDescent="0.2">
      <c r="A32" s="130">
        <f t="shared" si="0"/>
        <v>6965</v>
      </c>
      <c r="B32" s="129">
        <v>1</v>
      </c>
    </row>
    <row r="33" spans="1:12" x14ac:dyDescent="0.2">
      <c r="A33" s="130">
        <f t="shared" si="0"/>
        <v>6972</v>
      </c>
      <c r="B33" s="129">
        <v>1.2</v>
      </c>
    </row>
    <row r="34" spans="1:12" x14ac:dyDescent="0.2">
      <c r="A34" s="130">
        <f t="shared" si="0"/>
        <v>6979</v>
      </c>
      <c r="B34" s="129">
        <v>2.5</v>
      </c>
    </row>
    <row r="35" spans="1:12" x14ac:dyDescent="0.2">
      <c r="A35" s="130">
        <f t="shared" si="0"/>
        <v>6986</v>
      </c>
      <c r="B35" s="129">
        <v>6</v>
      </c>
    </row>
    <row r="36" spans="1:12" x14ac:dyDescent="0.2">
      <c r="A36" s="130">
        <f t="shared" si="0"/>
        <v>6993</v>
      </c>
      <c r="B36" s="129">
        <v>9</v>
      </c>
    </row>
    <row r="37" spans="1:12" x14ac:dyDescent="0.2">
      <c r="A37" s="130">
        <f t="shared" si="0"/>
        <v>7000</v>
      </c>
      <c r="B37" s="129">
        <v>11.5</v>
      </c>
    </row>
    <row r="38" spans="1:12" x14ac:dyDescent="0.2">
      <c r="A38" s="130">
        <f t="shared" si="0"/>
        <v>7007</v>
      </c>
      <c r="B38" s="129">
        <v>10</v>
      </c>
    </row>
    <row r="39" spans="1:12" x14ac:dyDescent="0.2">
      <c r="A39" s="130">
        <f t="shared" si="0"/>
        <v>7014</v>
      </c>
      <c r="B39" s="129">
        <v>8</v>
      </c>
    </row>
    <row r="40" spans="1:12" x14ac:dyDescent="0.2">
      <c r="A40" s="130">
        <f t="shared" si="0"/>
        <v>7021</v>
      </c>
      <c r="B40" s="129">
        <v>5</v>
      </c>
    </row>
    <row r="41" spans="1:12" x14ac:dyDescent="0.2">
      <c r="A41" s="130">
        <f t="shared" si="0"/>
        <v>7028</v>
      </c>
      <c r="B41" s="129">
        <v>4</v>
      </c>
    </row>
    <row r="42" spans="1:12" x14ac:dyDescent="0.2">
      <c r="A42" s="130">
        <f t="shared" si="0"/>
        <v>7035</v>
      </c>
      <c r="B42" s="129">
        <v>3</v>
      </c>
    </row>
    <row r="43" spans="1:12" x14ac:dyDescent="0.2">
      <c r="A43" s="130">
        <f t="shared" si="0"/>
        <v>7042</v>
      </c>
      <c r="B43" s="129">
        <v>4</v>
      </c>
    </row>
    <row r="44" spans="1:12" x14ac:dyDescent="0.2">
      <c r="A44" s="130">
        <f t="shared" si="0"/>
        <v>7049</v>
      </c>
      <c r="B44" s="129">
        <v>2</v>
      </c>
    </row>
    <row r="45" spans="1:12" x14ac:dyDescent="0.2">
      <c r="A45" s="130">
        <f t="shared" si="0"/>
        <v>7056</v>
      </c>
      <c r="B45" s="129">
        <v>1</v>
      </c>
    </row>
    <row r="46" spans="1:12" x14ac:dyDescent="0.2">
      <c r="A46" s="130"/>
    </row>
    <row r="47" spans="1:12" s="131" customFormat="1" ht="57" x14ac:dyDescent="0.2">
      <c r="A47" s="131" t="s">
        <v>1264</v>
      </c>
      <c r="B47" s="131" t="s">
        <v>1265</v>
      </c>
      <c r="C47" s="131" t="s">
        <v>1560</v>
      </c>
      <c r="D47" s="131" t="s">
        <v>1266</v>
      </c>
      <c r="E47" s="131" t="s">
        <v>1267</v>
      </c>
      <c r="F47" s="131" t="s">
        <v>1279</v>
      </c>
      <c r="G47" s="131" t="s">
        <v>1284</v>
      </c>
      <c r="H47" s="131" t="s">
        <v>1499</v>
      </c>
      <c r="I47" s="129" t="s">
        <v>1604</v>
      </c>
      <c r="J47" s="132"/>
      <c r="K47" s="132"/>
      <c r="L47" s="132"/>
    </row>
    <row r="48" spans="1:12" x14ac:dyDescent="0.2">
      <c r="A48" s="130">
        <v>43891</v>
      </c>
      <c r="B48" s="129">
        <v>1000</v>
      </c>
      <c r="D48" s="129">
        <v>29</v>
      </c>
      <c r="E48" s="133"/>
      <c r="F48" s="134"/>
      <c r="G48" s="134"/>
      <c r="H48" s="134"/>
    </row>
    <row r="49" spans="1:9" x14ac:dyDescent="0.2">
      <c r="A49" s="130">
        <v>43922</v>
      </c>
      <c r="B49" s="135">
        <v>184770</v>
      </c>
      <c r="C49" s="135">
        <f>(B49-B48)/((A49-A48))</f>
        <v>5928.0645161290322</v>
      </c>
      <c r="D49" s="135">
        <v>3746</v>
      </c>
      <c r="E49" s="133">
        <f t="shared" ref="E49:E55" si="1">D49*100/B49</f>
        <v>2.0273853980624561</v>
      </c>
      <c r="F49" s="136">
        <f>(D49-D48)/(A49-A48)</f>
        <v>119.90322580645162</v>
      </c>
      <c r="G49" s="136">
        <f>F49*7</f>
        <v>839.32258064516134</v>
      </c>
      <c r="H49" s="136">
        <f t="shared" ref="H49:H55" si="2">D49-D48</f>
        <v>3717</v>
      </c>
    </row>
    <row r="50" spans="1:9" x14ac:dyDescent="0.2">
      <c r="A50" s="130">
        <v>43952</v>
      </c>
      <c r="B50" s="135">
        <v>1062446</v>
      </c>
      <c r="C50" s="135">
        <f t="shared" ref="C50:C55" si="3">(B50-B49)/((A50-A49))</f>
        <v>29255.866666666665</v>
      </c>
      <c r="D50" s="135">
        <v>62406</v>
      </c>
      <c r="E50" s="133">
        <f t="shared" si="1"/>
        <v>5.8738044098241229</v>
      </c>
      <c r="F50" s="136">
        <f t="shared" ref="F50:F55" si="4">(D50-D49)/(A50-A49)</f>
        <v>1955.3333333333333</v>
      </c>
      <c r="G50" s="136">
        <f t="shared" ref="G50:G56" si="5">F50*7</f>
        <v>13687.333333333332</v>
      </c>
      <c r="H50" s="136">
        <f t="shared" si="2"/>
        <v>58660</v>
      </c>
    </row>
    <row r="51" spans="1:9" x14ac:dyDescent="0.2">
      <c r="A51" s="130">
        <v>43983</v>
      </c>
      <c r="B51" s="135">
        <v>1761503</v>
      </c>
      <c r="C51" s="135">
        <f t="shared" si="3"/>
        <v>22550.225806451614</v>
      </c>
      <c r="D51" s="135">
        <v>103700</v>
      </c>
      <c r="E51" s="133">
        <f t="shared" si="1"/>
        <v>5.8870180749053507</v>
      </c>
      <c r="F51" s="136">
        <f t="shared" si="4"/>
        <v>1332.0645161290322</v>
      </c>
      <c r="G51" s="136">
        <f t="shared" si="5"/>
        <v>9324.4516129032254</v>
      </c>
      <c r="H51" s="136">
        <f t="shared" si="2"/>
        <v>41294</v>
      </c>
    </row>
    <row r="52" spans="1:9" x14ac:dyDescent="0.2">
      <c r="A52" s="130">
        <v>44013</v>
      </c>
      <c r="B52" s="135">
        <v>2581229</v>
      </c>
      <c r="C52" s="135">
        <f t="shared" si="3"/>
        <v>27324.2</v>
      </c>
      <c r="D52" s="144">
        <v>126739</v>
      </c>
      <c r="E52" s="133">
        <f t="shared" si="1"/>
        <v>4.9100254181244667</v>
      </c>
      <c r="F52" s="136">
        <f t="shared" si="4"/>
        <v>767.9666666666667</v>
      </c>
      <c r="G52" s="137">
        <f t="shared" si="5"/>
        <v>5375.7666666666664</v>
      </c>
      <c r="H52" s="136">
        <f t="shared" si="2"/>
        <v>23039</v>
      </c>
      <c r="I52" s="129">
        <f>G52*4/G$52</f>
        <v>4</v>
      </c>
    </row>
    <row r="53" spans="1:9" x14ac:dyDescent="0.2">
      <c r="A53" s="130">
        <v>44044</v>
      </c>
      <c r="B53" s="135">
        <v>4473974</v>
      </c>
      <c r="C53" s="135">
        <f t="shared" si="3"/>
        <v>61056.290322580644</v>
      </c>
      <c r="D53" s="135">
        <v>151499</v>
      </c>
      <c r="E53" s="133">
        <f t="shared" si="1"/>
        <v>3.3862288873381918</v>
      </c>
      <c r="F53" s="136">
        <f t="shared" si="4"/>
        <v>798.70967741935488</v>
      </c>
      <c r="G53" s="137">
        <f t="shared" si="5"/>
        <v>5590.9677419354839</v>
      </c>
      <c r="H53" s="136">
        <f t="shared" si="2"/>
        <v>24760</v>
      </c>
      <c r="I53" s="129">
        <f t="shared" ref="I53:I56" si="6">G53*4/G$52</f>
        <v>4.160126797618064</v>
      </c>
    </row>
    <row r="54" spans="1:9" x14ac:dyDescent="0.2">
      <c r="A54" s="130">
        <v>44075</v>
      </c>
      <c r="B54" s="135">
        <v>6004443</v>
      </c>
      <c r="C54" s="135">
        <f t="shared" si="3"/>
        <v>49369.967741935485</v>
      </c>
      <c r="D54" s="135">
        <v>183050</v>
      </c>
      <c r="E54" s="133">
        <f t="shared" si="1"/>
        <v>3.0485758629068509</v>
      </c>
      <c r="F54" s="136">
        <f t="shared" si="4"/>
        <v>1017.7741935483871</v>
      </c>
      <c r="G54" s="137">
        <f t="shared" si="5"/>
        <v>7124.4193548387093</v>
      </c>
      <c r="H54" s="136">
        <f t="shared" si="2"/>
        <v>31551</v>
      </c>
      <c r="I54" s="129">
        <f t="shared" si="6"/>
        <v>5.3011373421505468</v>
      </c>
    </row>
    <row r="55" spans="1:9" x14ac:dyDescent="0.2">
      <c r="A55" s="130">
        <v>44105</v>
      </c>
      <c r="B55" s="135">
        <v>7213419</v>
      </c>
      <c r="C55" s="135">
        <f t="shared" si="3"/>
        <v>40299.199999999997</v>
      </c>
      <c r="D55" s="135">
        <v>206402</v>
      </c>
      <c r="E55" s="133">
        <f t="shared" si="1"/>
        <v>2.8613615817963716</v>
      </c>
      <c r="F55" s="136">
        <f t="shared" si="4"/>
        <v>778.4</v>
      </c>
      <c r="G55" s="137">
        <f t="shared" si="5"/>
        <v>5448.8</v>
      </c>
      <c r="H55" s="136">
        <f t="shared" si="2"/>
        <v>23352</v>
      </c>
      <c r="I55" s="129">
        <f t="shared" si="6"/>
        <v>4.0543426363991495</v>
      </c>
    </row>
    <row r="56" spans="1:9" x14ac:dyDescent="0.2">
      <c r="A56" s="130">
        <f>'death rates'!A18</f>
        <v>44136</v>
      </c>
      <c r="B56" s="135">
        <f>'death rates'!B18</f>
        <v>9105230</v>
      </c>
      <c r="C56" s="135">
        <f>'death rates'!C18</f>
        <v>61026.161290322583</v>
      </c>
      <c r="D56" s="135">
        <f>'death rates'!D18</f>
        <v>229932</v>
      </c>
      <c r="E56" s="133">
        <f>'death rates'!F18</f>
        <v>2.5252739359686687</v>
      </c>
      <c r="F56" s="136">
        <f>'death rates'!G18</f>
        <v>759.0322580645161</v>
      </c>
      <c r="G56" s="137">
        <f t="shared" si="5"/>
        <v>5313.2258064516127</v>
      </c>
      <c r="H56" s="136">
        <f>'death rates'!I18</f>
        <v>23530</v>
      </c>
      <c r="I56" s="129">
        <f t="shared" si="6"/>
        <v>3.9534646020982653</v>
      </c>
    </row>
    <row r="57" spans="1:9" x14ac:dyDescent="0.2">
      <c r="A57" s="130">
        <f>'death rates'!A19</f>
        <v>44166</v>
      </c>
      <c r="B57" s="135">
        <f>'death rates'!B19</f>
        <v>13447627</v>
      </c>
      <c r="C57" s="135">
        <f>'death rates'!C19</f>
        <v>144746.56666666668</v>
      </c>
      <c r="D57" s="135">
        <f>'death rates'!D19</f>
        <v>267302</v>
      </c>
      <c r="E57" s="133">
        <f>'death rates'!F19</f>
        <v>1.987726161649189</v>
      </c>
      <c r="F57" s="136">
        <f>'death rates'!G19</f>
        <v>1245.6666666666667</v>
      </c>
      <c r="G57" s="137">
        <f t="shared" ref="G57" si="7">F57*7</f>
        <v>8719.6666666666679</v>
      </c>
      <c r="H57" s="136">
        <f>'death rates'!I19</f>
        <v>37370</v>
      </c>
      <c r="I57" s="129">
        <f t="shared" ref="I57" si="8">G57*4/G$52</f>
        <v>6.48812882503581</v>
      </c>
    </row>
    <row r="58" spans="1:9" x14ac:dyDescent="0.2">
      <c r="A58" s="130">
        <f>'death rates'!A20</f>
        <v>44175</v>
      </c>
      <c r="B58" s="135">
        <f>'death rates'!B20</f>
        <v>15271571</v>
      </c>
      <c r="C58" s="135">
        <f>'death rates'!C20</f>
        <v>202660.44444444444</v>
      </c>
      <c r="D58" s="135">
        <f>'death rates'!D20</f>
        <v>288762</v>
      </c>
      <c r="E58" s="133">
        <f>'death rates'!F20</f>
        <v>3.1713861154523277</v>
      </c>
      <c r="F58" s="136">
        <f>'death rates'!G20</f>
        <v>2384.4444444444443</v>
      </c>
      <c r="G58" s="137">
        <f t="shared" ref="G58" si="9">F58*7</f>
        <v>16691.111111111109</v>
      </c>
      <c r="H58" s="136">
        <f>'death rates'!I20</f>
        <v>73917.777777777781</v>
      </c>
      <c r="I58" s="129">
        <f t="shared" ref="I58" si="10">G58*4/G$52</f>
        <v>12.419520523170855</v>
      </c>
    </row>
    <row r="61" spans="1:9" x14ac:dyDescent="0.2">
      <c r="A61" s="129" t="s">
        <v>1264</v>
      </c>
      <c r="B61" s="129" t="s">
        <v>1611</v>
      </c>
      <c r="C61" s="129" t="s">
        <v>250</v>
      </c>
      <c r="D61" s="129" t="s">
        <v>1612</v>
      </c>
      <c r="F61" s="129" t="s">
        <v>1613</v>
      </c>
      <c r="G61" s="129" t="s">
        <v>1614</v>
      </c>
    </row>
    <row r="62" spans="1:9" x14ac:dyDescent="0.2">
      <c r="A62" s="130">
        <v>43891</v>
      </c>
      <c r="C62" s="135">
        <v>29</v>
      </c>
      <c r="F62" s="135">
        <v>29</v>
      </c>
    </row>
    <row r="63" spans="1:9" x14ac:dyDescent="0.2">
      <c r="A63" s="130">
        <v>43922</v>
      </c>
      <c r="C63" s="135">
        <v>3717</v>
      </c>
      <c r="F63" s="135">
        <v>3717</v>
      </c>
    </row>
    <row r="64" spans="1:9" x14ac:dyDescent="0.2">
      <c r="A64" s="130">
        <v>43952</v>
      </c>
      <c r="C64" s="135">
        <v>58660</v>
      </c>
      <c r="F64" s="135">
        <v>58660</v>
      </c>
    </row>
    <row r="65" spans="1:7" x14ac:dyDescent="0.2">
      <c r="A65" s="130">
        <v>43983</v>
      </c>
      <c r="C65" s="135">
        <v>41294</v>
      </c>
      <c r="F65" s="135">
        <v>41294</v>
      </c>
    </row>
    <row r="66" spans="1:7" x14ac:dyDescent="0.2">
      <c r="A66" s="130">
        <v>44013</v>
      </c>
      <c r="C66" s="135">
        <v>23039</v>
      </c>
      <c r="F66" s="135">
        <v>23039</v>
      </c>
      <c r="G66" s="135">
        <f>SUM(C$62:C66)</f>
        <v>126739</v>
      </c>
    </row>
    <row r="67" spans="1:7" x14ac:dyDescent="0.2">
      <c r="A67" s="130"/>
      <c r="C67" s="135"/>
      <c r="F67" s="135"/>
      <c r="G67" s="135"/>
    </row>
    <row r="68" spans="1:7" x14ac:dyDescent="0.2">
      <c r="A68" s="130">
        <v>44011</v>
      </c>
      <c r="B68" s="129">
        <v>0</v>
      </c>
      <c r="D68" s="129">
        <v>0</v>
      </c>
    </row>
    <row r="69" spans="1:7" ht="15" x14ac:dyDescent="0.25">
      <c r="A69" s="130">
        <f t="shared" ref="A69:A111" si="11">A68+7</f>
        <v>44018</v>
      </c>
      <c r="B69" s="129">
        <v>4</v>
      </c>
      <c r="C69" s="138">
        <v>5771</v>
      </c>
      <c r="D69" s="129">
        <f>C69*4/C$69</f>
        <v>4</v>
      </c>
      <c r="E69" s="138">
        <v>5591</v>
      </c>
    </row>
    <row r="70" spans="1:7" x14ac:dyDescent="0.2">
      <c r="A70" s="130">
        <f t="shared" si="11"/>
        <v>44025</v>
      </c>
      <c r="B70" s="129">
        <v>5</v>
      </c>
      <c r="C70" s="139">
        <f>C$69*B70/4</f>
        <v>7213.75</v>
      </c>
      <c r="D70" s="129">
        <f t="shared" ref="D70:D72" si="12">C70*4/C$69</f>
        <v>5</v>
      </c>
    </row>
    <row r="71" spans="1:7" x14ac:dyDescent="0.2">
      <c r="A71" s="130">
        <f t="shared" si="11"/>
        <v>44032</v>
      </c>
      <c r="B71" s="129">
        <v>4.5</v>
      </c>
      <c r="C71" s="139">
        <f>C$69*B71/4</f>
        <v>6492.375</v>
      </c>
      <c r="D71" s="129">
        <f t="shared" si="12"/>
        <v>4.5</v>
      </c>
    </row>
    <row r="72" spans="1:7" x14ac:dyDescent="0.2">
      <c r="A72" s="130">
        <f t="shared" si="11"/>
        <v>44039</v>
      </c>
      <c r="B72" s="129">
        <v>2</v>
      </c>
      <c r="C72" s="139">
        <f>C$69*B72/4</f>
        <v>2885.5</v>
      </c>
      <c r="D72" s="129">
        <f t="shared" si="12"/>
        <v>2</v>
      </c>
      <c r="E72" s="139">
        <f>AVERAGE(C69:C72)</f>
        <v>5590.65625</v>
      </c>
      <c r="F72" s="135">
        <f>SUM(C69:C72)</f>
        <v>22362.625</v>
      </c>
      <c r="G72" s="135">
        <f>SUM(C$63:C72)</f>
        <v>149072.625</v>
      </c>
    </row>
    <row r="73" spans="1:7" ht="15" x14ac:dyDescent="0.25">
      <c r="A73" s="130">
        <f t="shared" si="11"/>
        <v>44046</v>
      </c>
      <c r="B73" s="129">
        <v>1</v>
      </c>
      <c r="C73" s="140">
        <v>7915</v>
      </c>
      <c r="D73" s="143">
        <f>C73*4/C$69</f>
        <v>5.486050944377058</v>
      </c>
      <c r="E73" s="138">
        <v>7124</v>
      </c>
    </row>
    <row r="74" spans="1:7" x14ac:dyDescent="0.2">
      <c r="A74" s="130">
        <f t="shared" si="11"/>
        <v>44053</v>
      </c>
      <c r="B74" s="129">
        <v>0.5</v>
      </c>
      <c r="C74" s="139">
        <f>C$73*B74/1</f>
        <v>3957.5</v>
      </c>
      <c r="D74" s="143">
        <f t="shared" ref="D74:D81" si="13">C74*4/C$69</f>
        <v>2.743025472188529</v>
      </c>
    </row>
    <row r="75" spans="1:7" x14ac:dyDescent="0.2">
      <c r="A75" s="130">
        <f t="shared" si="11"/>
        <v>44060</v>
      </c>
      <c r="B75" s="129">
        <v>1</v>
      </c>
      <c r="C75" s="139">
        <f>C$73*B75/1</f>
        <v>7915</v>
      </c>
      <c r="D75" s="143">
        <f t="shared" si="13"/>
        <v>5.486050944377058</v>
      </c>
    </row>
    <row r="76" spans="1:7" x14ac:dyDescent="0.2">
      <c r="A76" s="130">
        <f t="shared" si="11"/>
        <v>44067</v>
      </c>
      <c r="B76" s="129">
        <v>1</v>
      </c>
      <c r="C76" s="139">
        <f>C$73*B76/1</f>
        <v>7915</v>
      </c>
      <c r="D76" s="143">
        <f t="shared" si="13"/>
        <v>5.486050944377058</v>
      </c>
    </row>
    <row r="77" spans="1:7" x14ac:dyDescent="0.2">
      <c r="A77" s="130">
        <f t="shared" si="11"/>
        <v>44074</v>
      </c>
      <c r="B77" s="129">
        <v>1</v>
      </c>
      <c r="C77" s="139">
        <f>C$73*B77/1</f>
        <v>7915</v>
      </c>
      <c r="D77" s="143">
        <f t="shared" si="13"/>
        <v>5.486050944377058</v>
      </c>
      <c r="E77" s="139">
        <f>AVERAGE(C73:C77)</f>
        <v>7123.5</v>
      </c>
      <c r="F77" s="135">
        <f>SUM(C73:C77)</f>
        <v>35617.5</v>
      </c>
      <c r="G77" s="135">
        <f>SUM(C$63:C77)</f>
        <v>184690.125</v>
      </c>
    </row>
    <row r="78" spans="1:7" ht="15" x14ac:dyDescent="0.25">
      <c r="A78" s="130">
        <f t="shared" si="11"/>
        <v>44081</v>
      </c>
      <c r="B78" s="129">
        <v>1</v>
      </c>
      <c r="C78" s="138">
        <v>5449</v>
      </c>
      <c r="D78" s="143">
        <f t="shared" si="13"/>
        <v>3.7768151100329233</v>
      </c>
      <c r="E78" s="138">
        <v>5449</v>
      </c>
    </row>
    <row r="79" spans="1:7" x14ac:dyDescent="0.2">
      <c r="A79" s="130">
        <f t="shared" si="11"/>
        <v>44088</v>
      </c>
      <c r="B79" s="129">
        <v>1</v>
      </c>
      <c r="C79" s="139">
        <f>C$78*B79/1</f>
        <v>5449</v>
      </c>
      <c r="D79" s="143">
        <f t="shared" si="13"/>
        <v>3.7768151100329233</v>
      </c>
    </row>
    <row r="80" spans="1:7" x14ac:dyDescent="0.2">
      <c r="A80" s="130">
        <f t="shared" si="11"/>
        <v>44095</v>
      </c>
      <c r="B80" s="129">
        <v>1</v>
      </c>
      <c r="C80" s="139">
        <f>C$78*B80/1</f>
        <v>5449</v>
      </c>
      <c r="D80" s="143">
        <f t="shared" si="13"/>
        <v>3.7768151100329233</v>
      </c>
      <c r="G80" s="135">
        <f>SUM(C$63:C80)</f>
        <v>201037.125</v>
      </c>
    </row>
    <row r="81" spans="1:15" x14ac:dyDescent="0.2">
      <c r="A81" s="130">
        <f t="shared" si="11"/>
        <v>44102</v>
      </c>
      <c r="B81" s="129">
        <v>1</v>
      </c>
      <c r="C81" s="139">
        <f>C$78*B81/1</f>
        <v>5449</v>
      </c>
      <c r="D81" s="143">
        <f t="shared" si="13"/>
        <v>3.7768151100329233</v>
      </c>
      <c r="E81" s="139">
        <f>AVERAGE(C78:C81)</f>
        <v>5449</v>
      </c>
      <c r="F81" s="135">
        <f>SUM(C78:C81)</f>
        <v>21796</v>
      </c>
      <c r="G81" s="135">
        <f>SUM(C$63:C81)</f>
        <v>206486.125</v>
      </c>
    </row>
    <row r="82" spans="1:15" ht="15" x14ac:dyDescent="0.25">
      <c r="A82" s="130">
        <f t="shared" si="11"/>
        <v>44109</v>
      </c>
      <c r="B82" s="129">
        <v>3</v>
      </c>
      <c r="C82" s="140">
        <v>4320</v>
      </c>
      <c r="D82" s="143">
        <f>C82*4/C$69</f>
        <v>2.9942817535955641</v>
      </c>
      <c r="E82" s="138">
        <v>5313</v>
      </c>
      <c r="H82" s="141"/>
      <c r="I82" s="141"/>
      <c r="J82" s="141"/>
      <c r="K82" s="141"/>
      <c r="L82" s="141"/>
      <c r="M82" s="141"/>
      <c r="N82" s="141"/>
      <c r="O82" s="141"/>
    </row>
    <row r="83" spans="1:15" ht="15" x14ac:dyDescent="0.25">
      <c r="A83" s="130">
        <f t="shared" si="11"/>
        <v>44116</v>
      </c>
      <c r="B83" s="129">
        <v>5</v>
      </c>
      <c r="C83" s="139">
        <f>C$82*B83/3</f>
        <v>7200</v>
      </c>
      <c r="D83" s="143">
        <f t="shared" ref="D83:D111" si="14">C83*4/C$69</f>
        <v>4.9904695893259401</v>
      </c>
      <c r="H83" s="142" t="s">
        <v>2223</v>
      </c>
      <c r="I83" s="141"/>
      <c r="J83" s="141"/>
      <c r="K83" s="141"/>
      <c r="L83" s="141"/>
      <c r="M83" s="141"/>
      <c r="N83" s="141"/>
      <c r="O83" s="141"/>
    </row>
    <row r="84" spans="1:15" ht="15" x14ac:dyDescent="0.25">
      <c r="A84" s="130">
        <f t="shared" si="11"/>
        <v>44123</v>
      </c>
      <c r="B84" s="129">
        <v>8</v>
      </c>
      <c r="C84" s="139">
        <f t="shared" ref="C84:C85" si="15">C$82*B84/3</f>
        <v>11520</v>
      </c>
      <c r="D84" s="143">
        <f t="shared" si="14"/>
        <v>7.9847513429215038</v>
      </c>
      <c r="H84" s="142" t="s">
        <v>1623</v>
      </c>
      <c r="I84" s="141"/>
      <c r="J84" s="141"/>
      <c r="K84" s="141"/>
      <c r="L84" s="141"/>
      <c r="M84" s="141"/>
      <c r="N84" s="141"/>
      <c r="O84" s="141"/>
    </row>
    <row r="85" spans="1:15" ht="15" x14ac:dyDescent="0.25">
      <c r="A85" s="130">
        <f t="shared" si="11"/>
        <v>44130</v>
      </c>
      <c r="B85" s="129">
        <v>12</v>
      </c>
      <c r="C85" s="139">
        <f t="shared" si="15"/>
        <v>17280</v>
      </c>
      <c r="D85" s="143">
        <f t="shared" si="14"/>
        <v>11.977127014382257</v>
      </c>
      <c r="E85" s="139">
        <f>AVERAGE(C82:C85)</f>
        <v>10080</v>
      </c>
      <c r="F85" s="135">
        <f>SUM(C82:C85)</f>
        <v>40320</v>
      </c>
      <c r="G85" s="135">
        <f>SUM(C$63:C85)</f>
        <v>246806.125</v>
      </c>
      <c r="H85" s="142"/>
      <c r="I85" s="141"/>
      <c r="J85" s="141"/>
      <c r="K85" s="141"/>
      <c r="L85" s="141"/>
      <c r="M85" s="141"/>
      <c r="N85" s="141"/>
      <c r="O85" s="141"/>
    </row>
    <row r="86" spans="1:15" ht="15" x14ac:dyDescent="0.25">
      <c r="A86" s="130">
        <f t="shared" si="11"/>
        <v>44137</v>
      </c>
      <c r="B86" s="129">
        <v>22</v>
      </c>
      <c r="C86" s="139">
        <f>C$82*B86/3</f>
        <v>31680</v>
      </c>
      <c r="D86" s="143">
        <f t="shared" si="14"/>
        <v>21.958066193034135</v>
      </c>
      <c r="E86" s="138">
        <v>8720</v>
      </c>
    </row>
    <row r="87" spans="1:15" x14ac:dyDescent="0.2">
      <c r="A87" s="130">
        <f t="shared" si="11"/>
        <v>44144</v>
      </c>
      <c r="B87" s="129">
        <v>24</v>
      </c>
      <c r="C87" s="139">
        <f>C$86*B87/22</f>
        <v>34560</v>
      </c>
      <c r="D87" s="143">
        <f t="shared" si="14"/>
        <v>23.954254028764513</v>
      </c>
    </row>
    <row r="88" spans="1:15" x14ac:dyDescent="0.2">
      <c r="A88" s="130">
        <f t="shared" si="11"/>
        <v>44151</v>
      </c>
      <c r="B88" s="129">
        <v>19</v>
      </c>
      <c r="C88" s="139">
        <f t="shared" ref="C88:C90" si="16">C$86*B88/22</f>
        <v>27360</v>
      </c>
      <c r="D88" s="143">
        <f t="shared" si="14"/>
        <v>18.963784439438573</v>
      </c>
    </row>
    <row r="89" spans="1:15" x14ac:dyDescent="0.2">
      <c r="A89" s="130">
        <f t="shared" si="11"/>
        <v>44158</v>
      </c>
      <c r="B89" s="129">
        <v>18</v>
      </c>
      <c r="C89" s="139">
        <f t="shared" si="16"/>
        <v>25920</v>
      </c>
      <c r="D89" s="143">
        <f t="shared" si="14"/>
        <v>17.965690521573386</v>
      </c>
    </row>
    <row r="90" spans="1:15" x14ac:dyDescent="0.2">
      <c r="A90" s="130">
        <f t="shared" si="11"/>
        <v>44165</v>
      </c>
      <c r="B90" s="129">
        <v>17</v>
      </c>
      <c r="C90" s="139">
        <f t="shared" si="16"/>
        <v>24480</v>
      </c>
      <c r="D90" s="143">
        <f t="shared" si="14"/>
        <v>16.967596603708195</v>
      </c>
      <c r="E90" s="139">
        <f>AVERAGE(C86:C90)</f>
        <v>28800</v>
      </c>
      <c r="F90" s="135">
        <f>SUM(C86:C90)</f>
        <v>144000</v>
      </c>
      <c r="G90" s="135">
        <f>SUM(C$63:C90)</f>
        <v>390806.125</v>
      </c>
    </row>
    <row r="91" spans="1:15" x14ac:dyDescent="0.2">
      <c r="A91" s="130">
        <f t="shared" si="11"/>
        <v>44172</v>
      </c>
      <c r="B91" s="129">
        <v>12</v>
      </c>
      <c r="C91" s="139">
        <v>17280</v>
      </c>
      <c r="D91" s="143">
        <f t="shared" si="14"/>
        <v>11.977127014382257</v>
      </c>
    </row>
    <row r="92" spans="1:15" x14ac:dyDescent="0.2">
      <c r="A92" s="130">
        <f t="shared" si="11"/>
        <v>44179</v>
      </c>
      <c r="B92" s="129">
        <v>6</v>
      </c>
      <c r="C92" s="139">
        <v>8640</v>
      </c>
      <c r="D92" s="143">
        <f t="shared" si="14"/>
        <v>5.9885635071911283</v>
      </c>
    </row>
    <row r="93" spans="1:15" x14ac:dyDescent="0.2">
      <c r="A93" s="130">
        <f t="shared" si="11"/>
        <v>44186</v>
      </c>
      <c r="B93" s="129">
        <v>4</v>
      </c>
      <c r="C93" s="139">
        <v>5760</v>
      </c>
      <c r="D93" s="143">
        <f t="shared" si="14"/>
        <v>3.9923756714607519</v>
      </c>
      <c r="F93" s="135"/>
    </row>
    <row r="94" spans="1:15" ht="15" x14ac:dyDescent="0.25">
      <c r="A94" s="130">
        <f t="shared" si="11"/>
        <v>44193</v>
      </c>
      <c r="B94" s="129">
        <v>2</v>
      </c>
      <c r="C94" s="139">
        <v>2880</v>
      </c>
      <c r="D94" s="143">
        <f t="shared" si="14"/>
        <v>1.9961878357303759</v>
      </c>
      <c r="F94" s="135">
        <f>SUM(C91:C94)</f>
        <v>34560</v>
      </c>
      <c r="G94" s="145">
        <f>SUM(C$63:C94)</f>
        <v>425366.125</v>
      </c>
    </row>
    <row r="95" spans="1:15" x14ac:dyDescent="0.2">
      <c r="A95" s="130">
        <f t="shared" si="11"/>
        <v>44200</v>
      </c>
      <c r="B95" s="129">
        <v>1.5</v>
      </c>
      <c r="C95" s="139">
        <v>2160</v>
      </c>
      <c r="D95" s="143">
        <f t="shared" si="14"/>
        <v>1.4971408767977821</v>
      </c>
    </row>
    <row r="96" spans="1:15" x14ac:dyDescent="0.2">
      <c r="A96" s="130">
        <f t="shared" si="11"/>
        <v>44207</v>
      </c>
      <c r="B96" s="129">
        <v>1.5</v>
      </c>
      <c r="C96" s="139">
        <v>2160</v>
      </c>
      <c r="D96" s="143">
        <f t="shared" si="14"/>
        <v>1.4971408767977821</v>
      </c>
    </row>
    <row r="97" spans="1:7" x14ac:dyDescent="0.2">
      <c r="A97" s="130">
        <f t="shared" si="11"/>
        <v>44214</v>
      </c>
      <c r="B97" s="129">
        <v>1.2</v>
      </c>
      <c r="C97" s="139">
        <v>1728</v>
      </c>
      <c r="D97" s="143">
        <f t="shared" si="14"/>
        <v>1.1977127014382256</v>
      </c>
    </row>
    <row r="98" spans="1:7" x14ac:dyDescent="0.2">
      <c r="A98" s="130">
        <f t="shared" si="11"/>
        <v>44221</v>
      </c>
      <c r="B98" s="129">
        <v>1</v>
      </c>
      <c r="C98" s="139">
        <v>1440</v>
      </c>
      <c r="D98" s="143">
        <f t="shared" si="14"/>
        <v>0.99809391786518797</v>
      </c>
      <c r="F98" s="135">
        <f>SUM(C95:C98)</f>
        <v>7488</v>
      </c>
      <c r="G98" s="135">
        <f>SUM(C$63:C98)</f>
        <v>432854.125</v>
      </c>
    </row>
    <row r="99" spans="1:7" x14ac:dyDescent="0.2">
      <c r="A99" s="130">
        <f t="shared" si="11"/>
        <v>44228</v>
      </c>
      <c r="B99" s="129">
        <v>1.2</v>
      </c>
      <c r="C99" s="139">
        <v>1728</v>
      </c>
      <c r="D99" s="143">
        <f t="shared" si="14"/>
        <v>1.1977127014382256</v>
      </c>
    </row>
    <row r="100" spans="1:7" x14ac:dyDescent="0.2">
      <c r="A100" s="130">
        <f t="shared" si="11"/>
        <v>44235</v>
      </c>
      <c r="B100" s="129">
        <v>2.5</v>
      </c>
      <c r="C100" s="139">
        <v>3600</v>
      </c>
      <c r="D100" s="143">
        <f t="shared" si="14"/>
        <v>2.49523479466297</v>
      </c>
    </row>
    <row r="101" spans="1:7" x14ac:dyDescent="0.2">
      <c r="A101" s="130">
        <f t="shared" si="11"/>
        <v>44242</v>
      </c>
      <c r="B101" s="129">
        <v>6</v>
      </c>
      <c r="C101" s="139">
        <v>8640</v>
      </c>
      <c r="D101" s="143">
        <f t="shared" si="14"/>
        <v>5.9885635071911283</v>
      </c>
    </row>
    <row r="102" spans="1:7" x14ac:dyDescent="0.2">
      <c r="A102" s="130">
        <f t="shared" si="11"/>
        <v>44249</v>
      </c>
      <c r="B102" s="129">
        <v>9</v>
      </c>
      <c r="C102" s="139">
        <v>12960</v>
      </c>
      <c r="D102" s="143">
        <f t="shared" si="14"/>
        <v>8.9828452607866929</v>
      </c>
      <c r="F102" s="135">
        <f>SUM(C99:C102)</f>
        <v>26928</v>
      </c>
      <c r="G102" s="135">
        <f>SUM(C$63:C102)</f>
        <v>459782.125</v>
      </c>
    </row>
    <row r="103" spans="1:7" x14ac:dyDescent="0.2">
      <c r="A103" s="130">
        <f t="shared" si="11"/>
        <v>44256</v>
      </c>
      <c r="B103" s="129">
        <v>11.5</v>
      </c>
      <c r="C103" s="139">
        <v>16560</v>
      </c>
      <c r="D103" s="143">
        <f t="shared" si="14"/>
        <v>11.478080055449663</v>
      </c>
    </row>
    <row r="104" spans="1:7" x14ac:dyDescent="0.2">
      <c r="A104" s="130">
        <f t="shared" si="11"/>
        <v>44263</v>
      </c>
      <c r="B104" s="129">
        <v>10</v>
      </c>
      <c r="C104" s="139">
        <v>14400</v>
      </c>
      <c r="D104" s="143">
        <f t="shared" si="14"/>
        <v>9.9809391786518802</v>
      </c>
    </row>
    <row r="105" spans="1:7" x14ac:dyDescent="0.2">
      <c r="A105" s="130">
        <f t="shared" si="11"/>
        <v>44270</v>
      </c>
      <c r="B105" s="129">
        <v>8</v>
      </c>
      <c r="C105" s="139">
        <v>11520</v>
      </c>
      <c r="D105" s="143">
        <f t="shared" si="14"/>
        <v>7.9847513429215038</v>
      </c>
    </row>
    <row r="106" spans="1:7" x14ac:dyDescent="0.2">
      <c r="A106" s="130">
        <f t="shared" si="11"/>
        <v>44277</v>
      </c>
      <c r="B106" s="129">
        <v>5</v>
      </c>
      <c r="C106" s="139">
        <v>7200</v>
      </c>
      <c r="D106" s="143">
        <f t="shared" si="14"/>
        <v>4.9904695893259401</v>
      </c>
    </row>
    <row r="107" spans="1:7" x14ac:dyDescent="0.2">
      <c r="A107" s="130">
        <f t="shared" si="11"/>
        <v>44284</v>
      </c>
      <c r="B107" s="129">
        <v>4</v>
      </c>
      <c r="C107" s="139">
        <v>5760</v>
      </c>
      <c r="D107" s="143">
        <f t="shared" si="14"/>
        <v>3.9923756714607519</v>
      </c>
      <c r="F107" s="135">
        <f>SUM(C103:C107)</f>
        <v>55440</v>
      </c>
      <c r="G107" s="135">
        <f>SUM(C$63:C107)</f>
        <v>515222.125</v>
      </c>
    </row>
    <row r="108" spans="1:7" x14ac:dyDescent="0.2">
      <c r="A108" s="130">
        <f t="shared" si="11"/>
        <v>44291</v>
      </c>
      <c r="B108" s="129">
        <v>3</v>
      </c>
      <c r="C108" s="139">
        <v>4320</v>
      </c>
      <c r="D108" s="143">
        <f t="shared" si="14"/>
        <v>2.9942817535955641</v>
      </c>
    </row>
    <row r="109" spans="1:7" x14ac:dyDescent="0.2">
      <c r="A109" s="130">
        <f t="shared" si="11"/>
        <v>44298</v>
      </c>
      <c r="B109" s="129">
        <v>4</v>
      </c>
      <c r="C109" s="139">
        <v>5760</v>
      </c>
      <c r="D109" s="143">
        <f t="shared" si="14"/>
        <v>3.9923756714607519</v>
      </c>
    </row>
    <row r="110" spans="1:7" x14ac:dyDescent="0.2">
      <c r="A110" s="130">
        <f t="shared" si="11"/>
        <v>44305</v>
      </c>
      <c r="B110" s="129">
        <v>2</v>
      </c>
      <c r="C110" s="139">
        <v>2880</v>
      </c>
      <c r="D110" s="143">
        <f t="shared" si="14"/>
        <v>1.9961878357303759</v>
      </c>
    </row>
    <row r="111" spans="1:7" x14ac:dyDescent="0.2">
      <c r="A111" s="130">
        <f t="shared" si="11"/>
        <v>44312</v>
      </c>
      <c r="B111" s="129">
        <v>1</v>
      </c>
      <c r="C111" s="139">
        <v>1440</v>
      </c>
      <c r="D111" s="143">
        <f t="shared" si="14"/>
        <v>0.99809391786518797</v>
      </c>
      <c r="F111" s="135">
        <f>SUM(C108:C111)</f>
        <v>14400</v>
      </c>
      <c r="G111" s="135">
        <f>SUM(C$63:C111)</f>
        <v>529622.125</v>
      </c>
    </row>
    <row r="113" spans="3:3" ht="15" x14ac:dyDescent="0.25">
      <c r="C113" s="145">
        <f>SUM(C62:C111)</f>
        <v>529651.125</v>
      </c>
    </row>
  </sheetData>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EEF83-83FC-4D32-8E80-80CCFE3E187A}">
  <dimension ref="A1:W118"/>
  <sheetViews>
    <sheetView topLeftCell="A89" zoomScale="80" zoomScaleNormal="80" workbookViewId="0">
      <selection activeCell="C99" sqref="C99"/>
    </sheetView>
  </sheetViews>
  <sheetFormatPr defaultRowHeight="14.25" x14ac:dyDescent="0.2"/>
  <cols>
    <col min="1" max="1" width="14" style="129" bestFit="1" customWidth="1"/>
    <col min="2" max="2" width="12.7109375" style="129" bestFit="1" customWidth="1"/>
    <col min="3" max="3" width="10.140625" style="129" bestFit="1" customWidth="1"/>
    <col min="4" max="4" width="10.5703125" style="129" bestFit="1" customWidth="1"/>
    <col min="5" max="6" width="9.42578125" style="129" bestFit="1" customWidth="1"/>
    <col min="7" max="7" width="10.140625" style="129" bestFit="1" customWidth="1"/>
    <col min="8" max="8" width="9.42578125" style="129" bestFit="1" customWidth="1"/>
    <col min="9" max="9" width="12.42578125" style="129" bestFit="1" customWidth="1"/>
    <col min="10" max="10" width="11" style="129" bestFit="1" customWidth="1"/>
    <col min="11" max="11" width="11.28515625" style="129" customWidth="1"/>
    <col min="12" max="12" width="9.7109375" style="129" bestFit="1" customWidth="1"/>
    <col min="13" max="16384" width="9.140625" style="129"/>
  </cols>
  <sheetData>
    <row r="1" spans="1:2" x14ac:dyDescent="0.2">
      <c r="A1" s="129" t="s">
        <v>1264</v>
      </c>
      <c r="B1" s="129" t="s">
        <v>1603</v>
      </c>
    </row>
    <row r="2" spans="1:2" x14ac:dyDescent="0.2">
      <c r="A2" s="130">
        <v>6755</v>
      </c>
      <c r="B2" s="129">
        <v>0</v>
      </c>
    </row>
    <row r="3" spans="1:2" x14ac:dyDescent="0.2">
      <c r="A3" s="130">
        <f>A2+7</f>
        <v>6762</v>
      </c>
      <c r="B3" s="129">
        <v>4</v>
      </c>
    </row>
    <row r="4" spans="1:2" x14ac:dyDescent="0.2">
      <c r="A4" s="130">
        <f t="shared" ref="A4:A45" si="0">A3+7</f>
        <v>6769</v>
      </c>
      <c r="B4" s="129">
        <v>5</v>
      </c>
    </row>
    <row r="5" spans="1:2" x14ac:dyDescent="0.2">
      <c r="A5" s="130">
        <f t="shared" si="0"/>
        <v>6776</v>
      </c>
      <c r="B5" s="129">
        <v>4.5</v>
      </c>
    </row>
    <row r="6" spans="1:2" x14ac:dyDescent="0.2">
      <c r="A6" s="130">
        <f t="shared" si="0"/>
        <v>6783</v>
      </c>
      <c r="B6" s="129">
        <v>2</v>
      </c>
    </row>
    <row r="7" spans="1:2" x14ac:dyDescent="0.2">
      <c r="A7" s="130">
        <f t="shared" si="0"/>
        <v>6790</v>
      </c>
      <c r="B7" s="129">
        <v>1</v>
      </c>
    </row>
    <row r="8" spans="1:2" x14ac:dyDescent="0.2">
      <c r="A8" s="130">
        <f t="shared" si="0"/>
        <v>6797</v>
      </c>
      <c r="B8" s="129">
        <v>0.5</v>
      </c>
    </row>
    <row r="9" spans="1:2" x14ac:dyDescent="0.2">
      <c r="A9" s="130">
        <f t="shared" si="0"/>
        <v>6804</v>
      </c>
      <c r="B9" s="129">
        <v>1</v>
      </c>
    </row>
    <row r="10" spans="1:2" x14ac:dyDescent="0.2">
      <c r="A10" s="130">
        <f t="shared" si="0"/>
        <v>6811</v>
      </c>
      <c r="B10" s="129">
        <v>1</v>
      </c>
    </row>
    <row r="11" spans="1:2" x14ac:dyDescent="0.2">
      <c r="A11" s="130">
        <f t="shared" si="0"/>
        <v>6818</v>
      </c>
      <c r="B11" s="129">
        <v>1</v>
      </c>
    </row>
    <row r="12" spans="1:2" x14ac:dyDescent="0.2">
      <c r="A12" s="130">
        <f t="shared" si="0"/>
        <v>6825</v>
      </c>
      <c r="B12" s="129">
        <v>1</v>
      </c>
    </row>
    <row r="13" spans="1:2" x14ac:dyDescent="0.2">
      <c r="A13" s="130">
        <f t="shared" si="0"/>
        <v>6832</v>
      </c>
      <c r="B13" s="129">
        <v>1</v>
      </c>
    </row>
    <row r="14" spans="1:2" x14ac:dyDescent="0.2">
      <c r="A14" s="130">
        <f t="shared" si="0"/>
        <v>6839</v>
      </c>
      <c r="B14" s="129">
        <v>1</v>
      </c>
    </row>
    <row r="15" spans="1:2" x14ac:dyDescent="0.2">
      <c r="A15" s="130">
        <f t="shared" si="0"/>
        <v>6846</v>
      </c>
      <c r="B15" s="129">
        <v>1</v>
      </c>
    </row>
    <row r="16" spans="1:2" x14ac:dyDescent="0.2">
      <c r="A16" s="130">
        <f t="shared" si="0"/>
        <v>6853</v>
      </c>
      <c r="B16" s="129">
        <v>3</v>
      </c>
    </row>
    <row r="17" spans="1:4" x14ac:dyDescent="0.2">
      <c r="A17" s="130">
        <f t="shared" si="0"/>
        <v>6860</v>
      </c>
      <c r="B17" s="129">
        <v>5</v>
      </c>
    </row>
    <row r="18" spans="1:4" x14ac:dyDescent="0.2">
      <c r="A18" s="130">
        <f t="shared" si="0"/>
        <v>6867</v>
      </c>
      <c r="B18" s="129">
        <v>8</v>
      </c>
    </row>
    <row r="19" spans="1:4" x14ac:dyDescent="0.2">
      <c r="A19" s="130">
        <f t="shared" si="0"/>
        <v>6874</v>
      </c>
      <c r="B19" s="129">
        <v>12</v>
      </c>
    </row>
    <row r="20" spans="1:4" x14ac:dyDescent="0.2">
      <c r="A20" s="130">
        <f t="shared" si="0"/>
        <v>6881</v>
      </c>
      <c r="B20" s="129">
        <v>22</v>
      </c>
    </row>
    <row r="21" spans="1:4" ht="15" x14ac:dyDescent="0.25">
      <c r="A21" s="130">
        <f t="shared" si="0"/>
        <v>6888</v>
      </c>
      <c r="B21" s="129">
        <v>24</v>
      </c>
      <c r="D21" s="138" t="s">
        <v>1606</v>
      </c>
    </row>
    <row r="22" spans="1:4" x14ac:dyDescent="0.2">
      <c r="A22" s="130">
        <f t="shared" si="0"/>
        <v>6895</v>
      </c>
      <c r="B22" s="129">
        <v>19</v>
      </c>
      <c r="D22" s="129" t="s">
        <v>1607</v>
      </c>
    </row>
    <row r="23" spans="1:4" x14ac:dyDescent="0.2">
      <c r="A23" s="130">
        <f t="shared" si="0"/>
        <v>6902</v>
      </c>
      <c r="B23" s="129">
        <v>18</v>
      </c>
      <c r="D23" s="129" t="s">
        <v>1608</v>
      </c>
    </row>
    <row r="24" spans="1:4" x14ac:dyDescent="0.2">
      <c r="A24" s="130">
        <f t="shared" si="0"/>
        <v>6909</v>
      </c>
      <c r="B24" s="129">
        <v>17</v>
      </c>
      <c r="D24" s="129" t="s">
        <v>1605</v>
      </c>
    </row>
    <row r="25" spans="1:4" x14ac:dyDescent="0.2">
      <c r="A25" s="130">
        <f t="shared" si="0"/>
        <v>6916</v>
      </c>
      <c r="B25" s="129">
        <v>12</v>
      </c>
      <c r="D25" s="129" t="s">
        <v>1609</v>
      </c>
    </row>
    <row r="26" spans="1:4" x14ac:dyDescent="0.2">
      <c r="A26" s="130">
        <f t="shared" si="0"/>
        <v>6923</v>
      </c>
      <c r="B26" s="129">
        <v>6</v>
      </c>
      <c r="D26" s="129" t="s">
        <v>1610</v>
      </c>
    </row>
    <row r="27" spans="1:4" x14ac:dyDescent="0.2">
      <c r="A27" s="130">
        <f t="shared" si="0"/>
        <v>6930</v>
      </c>
      <c r="B27" s="129">
        <v>4</v>
      </c>
    </row>
    <row r="28" spans="1:4" x14ac:dyDescent="0.2">
      <c r="A28" s="130">
        <f t="shared" si="0"/>
        <v>6937</v>
      </c>
      <c r="B28" s="129">
        <v>2</v>
      </c>
    </row>
    <row r="29" spans="1:4" x14ac:dyDescent="0.2">
      <c r="A29" s="130">
        <f t="shared" si="0"/>
        <v>6944</v>
      </c>
      <c r="B29" s="129">
        <v>1.5</v>
      </c>
    </row>
    <row r="30" spans="1:4" x14ac:dyDescent="0.2">
      <c r="A30" s="130">
        <f t="shared" si="0"/>
        <v>6951</v>
      </c>
      <c r="B30" s="129">
        <v>1.5</v>
      </c>
    </row>
    <row r="31" spans="1:4" x14ac:dyDescent="0.2">
      <c r="A31" s="130">
        <f t="shared" si="0"/>
        <v>6958</v>
      </c>
      <c r="B31" s="129">
        <v>1.2</v>
      </c>
    </row>
    <row r="32" spans="1:4" x14ac:dyDescent="0.2">
      <c r="A32" s="130">
        <f t="shared" si="0"/>
        <v>6965</v>
      </c>
      <c r="B32" s="129">
        <v>1</v>
      </c>
    </row>
    <row r="33" spans="1:12" x14ac:dyDescent="0.2">
      <c r="A33" s="130">
        <f t="shared" si="0"/>
        <v>6972</v>
      </c>
      <c r="B33" s="129">
        <v>1.2</v>
      </c>
    </row>
    <row r="34" spans="1:12" x14ac:dyDescent="0.2">
      <c r="A34" s="130">
        <f t="shared" si="0"/>
        <v>6979</v>
      </c>
      <c r="B34" s="129">
        <v>2.5</v>
      </c>
    </row>
    <row r="35" spans="1:12" x14ac:dyDescent="0.2">
      <c r="A35" s="130">
        <f t="shared" si="0"/>
        <v>6986</v>
      </c>
      <c r="B35" s="129">
        <v>6</v>
      </c>
    </row>
    <row r="36" spans="1:12" x14ac:dyDescent="0.2">
      <c r="A36" s="130">
        <f t="shared" si="0"/>
        <v>6993</v>
      </c>
      <c r="B36" s="129">
        <v>9</v>
      </c>
    </row>
    <row r="37" spans="1:12" x14ac:dyDescent="0.2">
      <c r="A37" s="130">
        <f t="shared" si="0"/>
        <v>7000</v>
      </c>
      <c r="B37" s="129">
        <v>11.5</v>
      </c>
    </row>
    <row r="38" spans="1:12" x14ac:dyDescent="0.2">
      <c r="A38" s="130">
        <f t="shared" si="0"/>
        <v>7007</v>
      </c>
      <c r="B38" s="129">
        <v>10</v>
      </c>
    </row>
    <row r="39" spans="1:12" x14ac:dyDescent="0.2">
      <c r="A39" s="130">
        <f t="shared" si="0"/>
        <v>7014</v>
      </c>
      <c r="B39" s="129">
        <v>8</v>
      </c>
    </row>
    <row r="40" spans="1:12" x14ac:dyDescent="0.2">
      <c r="A40" s="130">
        <f t="shared" si="0"/>
        <v>7021</v>
      </c>
      <c r="B40" s="129">
        <v>5</v>
      </c>
    </row>
    <row r="41" spans="1:12" x14ac:dyDescent="0.2">
      <c r="A41" s="130">
        <f t="shared" si="0"/>
        <v>7028</v>
      </c>
      <c r="B41" s="129">
        <v>4</v>
      </c>
    </row>
    <row r="42" spans="1:12" x14ac:dyDescent="0.2">
      <c r="A42" s="130">
        <f t="shared" si="0"/>
        <v>7035</v>
      </c>
      <c r="B42" s="129">
        <v>3</v>
      </c>
    </row>
    <row r="43" spans="1:12" x14ac:dyDescent="0.2">
      <c r="A43" s="130">
        <f t="shared" si="0"/>
        <v>7042</v>
      </c>
      <c r="B43" s="129">
        <v>4</v>
      </c>
    </row>
    <row r="44" spans="1:12" x14ac:dyDescent="0.2">
      <c r="A44" s="130">
        <f t="shared" si="0"/>
        <v>7049</v>
      </c>
      <c r="B44" s="129">
        <v>2</v>
      </c>
    </row>
    <row r="45" spans="1:12" x14ac:dyDescent="0.2">
      <c r="A45" s="130">
        <f t="shared" si="0"/>
        <v>7056</v>
      </c>
      <c r="B45" s="129">
        <v>1</v>
      </c>
    </row>
    <row r="46" spans="1:12" x14ac:dyDescent="0.2">
      <c r="A46" s="130"/>
    </row>
    <row r="47" spans="1:12" s="131" customFormat="1" ht="57" x14ac:dyDescent="0.2">
      <c r="A47" s="131" t="s">
        <v>1264</v>
      </c>
      <c r="B47" s="131" t="s">
        <v>1265</v>
      </c>
      <c r="C47" s="131" t="s">
        <v>1560</v>
      </c>
      <c r="D47" s="131" t="s">
        <v>1266</v>
      </c>
      <c r="E47" s="131" t="s">
        <v>1267</v>
      </c>
      <c r="F47" s="131" t="s">
        <v>1279</v>
      </c>
      <c r="G47" s="131" t="s">
        <v>1284</v>
      </c>
      <c r="H47" s="131" t="s">
        <v>1499</v>
      </c>
      <c r="I47" s="131" t="s">
        <v>1604</v>
      </c>
      <c r="J47" s="132" t="s">
        <v>2217</v>
      </c>
      <c r="K47" s="132" t="s">
        <v>2218</v>
      </c>
      <c r="L47" s="215">
        <v>1918</v>
      </c>
    </row>
    <row r="48" spans="1:12" x14ac:dyDescent="0.2">
      <c r="A48" s="130">
        <v>43891</v>
      </c>
      <c r="B48" s="129">
        <v>1000</v>
      </c>
      <c r="D48" s="129">
        <v>29</v>
      </c>
      <c r="E48" s="133"/>
      <c r="F48" s="134"/>
      <c r="G48" s="134"/>
      <c r="H48" s="134"/>
    </row>
    <row r="49" spans="1:12" x14ac:dyDescent="0.2">
      <c r="A49" s="130">
        <v>43922</v>
      </c>
      <c r="B49" s="135">
        <v>184770</v>
      </c>
      <c r="C49" s="135">
        <f>(B49-B48)/((A49-A48))</f>
        <v>5928.0645161290322</v>
      </c>
      <c r="D49" s="135">
        <v>3746</v>
      </c>
      <c r="E49" s="133">
        <f t="shared" ref="E49:E55" si="1">D49*100/B49</f>
        <v>2.0273853980624561</v>
      </c>
      <c r="F49" s="136">
        <f>(D49-D48)/(A49-A48)</f>
        <v>119.90322580645162</v>
      </c>
      <c r="G49" s="136">
        <f>F49*7</f>
        <v>839.32258064516134</v>
      </c>
      <c r="H49" s="136">
        <f t="shared" ref="H49:H55" si="2">D49-D48</f>
        <v>3717</v>
      </c>
      <c r="J49" s="135">
        <f>C49*7</f>
        <v>41496.451612903227</v>
      </c>
    </row>
    <row r="50" spans="1:12" x14ac:dyDescent="0.2">
      <c r="A50" s="130">
        <v>43952</v>
      </c>
      <c r="B50" s="135">
        <v>1062446</v>
      </c>
      <c r="C50" s="135">
        <f t="shared" ref="C50:C55" si="3">(B50-B49)/((A50-A49))</f>
        <v>29255.866666666665</v>
      </c>
      <c r="D50" s="135">
        <v>62406</v>
      </c>
      <c r="E50" s="133">
        <f t="shared" si="1"/>
        <v>5.8738044098241229</v>
      </c>
      <c r="F50" s="136">
        <f t="shared" ref="F50:F55" si="4">(D50-D49)/(A50-A49)</f>
        <v>1955.3333333333333</v>
      </c>
      <c r="G50" s="136">
        <f t="shared" ref="G50:G56" si="5">F50*7</f>
        <v>13687.333333333332</v>
      </c>
      <c r="H50" s="136">
        <f t="shared" si="2"/>
        <v>58660</v>
      </c>
      <c r="J50" s="135">
        <f t="shared" ref="J50:J58" si="6">C50*7</f>
        <v>204791.06666666665</v>
      </c>
    </row>
    <row r="51" spans="1:12" x14ac:dyDescent="0.2">
      <c r="A51" s="130">
        <v>43983</v>
      </c>
      <c r="B51" s="135">
        <v>1761503</v>
      </c>
      <c r="C51" s="135">
        <f t="shared" si="3"/>
        <v>22550.225806451614</v>
      </c>
      <c r="D51" s="135">
        <v>103700</v>
      </c>
      <c r="E51" s="133">
        <f t="shared" si="1"/>
        <v>5.8870180749053507</v>
      </c>
      <c r="F51" s="136">
        <f t="shared" si="4"/>
        <v>1332.0645161290322</v>
      </c>
      <c r="G51" s="136">
        <f t="shared" si="5"/>
        <v>9324.4516129032254</v>
      </c>
      <c r="H51" s="136">
        <f t="shared" si="2"/>
        <v>41294</v>
      </c>
      <c r="J51" s="135">
        <f t="shared" si="6"/>
        <v>157851.5806451613</v>
      </c>
    </row>
    <row r="52" spans="1:12" ht="15" x14ac:dyDescent="0.25">
      <c r="A52" s="217">
        <v>44013</v>
      </c>
      <c r="B52" s="135">
        <v>2581229</v>
      </c>
      <c r="C52" s="135">
        <f t="shared" si="3"/>
        <v>27324.2</v>
      </c>
      <c r="D52" s="144">
        <v>126739</v>
      </c>
      <c r="E52" s="133">
        <f t="shared" si="1"/>
        <v>4.9100254181244667</v>
      </c>
      <c r="F52" s="136">
        <f t="shared" si="4"/>
        <v>767.9666666666667</v>
      </c>
      <c r="G52" s="137">
        <f t="shared" si="5"/>
        <v>5375.7666666666664</v>
      </c>
      <c r="H52" s="136">
        <f t="shared" si="2"/>
        <v>23039</v>
      </c>
      <c r="I52" s="216">
        <f>G52*4/G$52</f>
        <v>4</v>
      </c>
      <c r="J52" s="135">
        <f t="shared" si="6"/>
        <v>191269.4</v>
      </c>
      <c r="K52" s="216">
        <f t="shared" ref="K52:K58" si="7">J52*4/$J$52</f>
        <v>4</v>
      </c>
    </row>
    <row r="53" spans="1:12" x14ac:dyDescent="0.2">
      <c r="A53" s="130">
        <v>44044</v>
      </c>
      <c r="B53" s="135">
        <v>4473974</v>
      </c>
      <c r="C53" s="135">
        <f t="shared" si="3"/>
        <v>61056.290322580644</v>
      </c>
      <c r="D53" s="135">
        <v>151499</v>
      </c>
      <c r="E53" s="133">
        <f t="shared" si="1"/>
        <v>3.3862288873381918</v>
      </c>
      <c r="F53" s="136">
        <f t="shared" si="4"/>
        <v>798.70967741935488</v>
      </c>
      <c r="G53" s="137">
        <f t="shared" si="5"/>
        <v>5590.9677419354839</v>
      </c>
      <c r="H53" s="136">
        <f t="shared" si="2"/>
        <v>24760</v>
      </c>
      <c r="I53" s="216">
        <f t="shared" ref="I53:I56" si="8">G53*4/G$52</f>
        <v>4.160126797618064</v>
      </c>
      <c r="J53" s="135">
        <f t="shared" si="6"/>
        <v>427394.03225806449</v>
      </c>
      <c r="K53" s="216">
        <f t="shared" si="7"/>
        <v>8.9380534943501573</v>
      </c>
      <c r="L53" s="216">
        <f>AVERAGE(B3:B6)</f>
        <v>3.875</v>
      </c>
    </row>
    <row r="54" spans="1:12" x14ac:dyDescent="0.2">
      <c r="A54" s="130">
        <v>44075</v>
      </c>
      <c r="B54" s="135">
        <v>6004443</v>
      </c>
      <c r="C54" s="135">
        <f t="shared" si="3"/>
        <v>49369.967741935485</v>
      </c>
      <c r="D54" s="135">
        <v>183050</v>
      </c>
      <c r="E54" s="133">
        <f t="shared" si="1"/>
        <v>3.0485758629068509</v>
      </c>
      <c r="F54" s="136">
        <f t="shared" si="4"/>
        <v>1017.7741935483871</v>
      </c>
      <c r="G54" s="137">
        <f t="shared" si="5"/>
        <v>7124.4193548387093</v>
      </c>
      <c r="H54" s="136">
        <f t="shared" si="2"/>
        <v>31551</v>
      </c>
      <c r="I54" s="216">
        <f t="shared" si="8"/>
        <v>5.3011373421505468</v>
      </c>
      <c r="J54" s="135">
        <f t="shared" si="6"/>
        <v>345589.77419354836</v>
      </c>
      <c r="K54" s="216">
        <f t="shared" si="7"/>
        <v>7.2272883000322761</v>
      </c>
      <c r="L54" s="216">
        <f>AVERAGE(B7:B11)</f>
        <v>0.9</v>
      </c>
    </row>
    <row r="55" spans="1:12" x14ac:dyDescent="0.2">
      <c r="A55" s="130">
        <v>44105</v>
      </c>
      <c r="B55" s="135">
        <v>7213419</v>
      </c>
      <c r="C55" s="135">
        <f t="shared" si="3"/>
        <v>40299.199999999997</v>
      </c>
      <c r="D55" s="135">
        <v>206402</v>
      </c>
      <c r="E55" s="133">
        <f t="shared" si="1"/>
        <v>2.8613615817963716</v>
      </c>
      <c r="F55" s="136">
        <f t="shared" si="4"/>
        <v>778.4</v>
      </c>
      <c r="G55" s="137">
        <f t="shared" si="5"/>
        <v>5448.8</v>
      </c>
      <c r="H55" s="136">
        <f t="shared" si="2"/>
        <v>23352</v>
      </c>
      <c r="I55" s="216">
        <f t="shared" si="8"/>
        <v>4.0543426363991495</v>
      </c>
      <c r="J55" s="135">
        <f t="shared" si="6"/>
        <v>282094.39999999997</v>
      </c>
      <c r="K55" s="216">
        <f t="shared" si="7"/>
        <v>5.8994151704349989</v>
      </c>
      <c r="L55" s="216">
        <f>AVERAGE(B12:B15)</f>
        <v>1</v>
      </c>
    </row>
    <row r="56" spans="1:12" x14ac:dyDescent="0.2">
      <c r="A56" s="130">
        <f>'death rates'!A18</f>
        <v>44136</v>
      </c>
      <c r="B56" s="135">
        <f>'death rates'!B18</f>
        <v>9105230</v>
      </c>
      <c r="C56" s="135">
        <f>'death rates'!C18</f>
        <v>61026.161290322583</v>
      </c>
      <c r="D56" s="135">
        <f>'death rates'!D18</f>
        <v>229932</v>
      </c>
      <c r="E56" s="133">
        <f>'death rates'!F18</f>
        <v>2.5252739359686687</v>
      </c>
      <c r="F56" s="136">
        <f>'death rates'!G18</f>
        <v>759.0322580645161</v>
      </c>
      <c r="G56" s="137">
        <f t="shared" si="5"/>
        <v>5313.2258064516127</v>
      </c>
      <c r="H56" s="136">
        <f>'death rates'!I18</f>
        <v>23530</v>
      </c>
      <c r="I56" s="216">
        <f t="shared" si="8"/>
        <v>3.9534646020982653</v>
      </c>
      <c r="J56" s="135">
        <f t="shared" si="6"/>
        <v>427183.12903225806</v>
      </c>
      <c r="K56" s="216">
        <f t="shared" si="7"/>
        <v>8.9336428938922392</v>
      </c>
      <c r="L56" s="216">
        <f>AVERAGE(B16:B19)</f>
        <v>7</v>
      </c>
    </row>
    <row r="57" spans="1:12" x14ac:dyDescent="0.2">
      <c r="A57" s="130">
        <f>'death rates'!A19</f>
        <v>44166</v>
      </c>
      <c r="B57" s="135">
        <f>'death rates'!B19</f>
        <v>13447627</v>
      </c>
      <c r="C57" s="135">
        <f>'death rates'!C19</f>
        <v>144746.56666666668</v>
      </c>
      <c r="D57" s="135">
        <f>'death rates'!D19</f>
        <v>267302</v>
      </c>
      <c r="E57" s="133">
        <f>'death rates'!F19</f>
        <v>1.987726161649189</v>
      </c>
      <c r="F57" s="136">
        <f>'death rates'!G19</f>
        <v>1245.6666666666667</v>
      </c>
      <c r="G57" s="137">
        <f t="shared" ref="G57" si="9">F57*7</f>
        <v>8719.6666666666679</v>
      </c>
      <c r="H57" s="136">
        <f>'death rates'!I19</f>
        <v>37370</v>
      </c>
      <c r="I57" s="216">
        <f t="shared" ref="I57" si="10">G57*4/G$52</f>
        <v>6.48812882503581</v>
      </c>
      <c r="J57" s="135">
        <f t="shared" ref="J57" si="11">C57*7</f>
        <v>1013225.9666666668</v>
      </c>
      <c r="K57" s="216">
        <f t="shared" ref="K57" si="12">J57*4/$J$52</f>
        <v>21.189504785745484</v>
      </c>
      <c r="L57" s="216">
        <f>AVERAGE(B17:B20)</f>
        <v>11.75</v>
      </c>
    </row>
    <row r="58" spans="1:12" x14ac:dyDescent="0.2">
      <c r="A58" s="130">
        <f>'death rates'!A20</f>
        <v>44175</v>
      </c>
      <c r="B58" s="135">
        <f>'death rates'!B20</f>
        <v>15271571</v>
      </c>
      <c r="C58" s="135">
        <f>'death rates'!C20</f>
        <v>202660.44444444444</v>
      </c>
      <c r="D58" s="135">
        <f>'death rates'!D20</f>
        <v>288762</v>
      </c>
      <c r="E58" s="133">
        <f>'death rates'!F20</f>
        <v>3.1713861154523277</v>
      </c>
      <c r="F58" s="136">
        <f>'death rates'!G20</f>
        <v>2384.4444444444443</v>
      </c>
      <c r="G58" s="137">
        <f t="shared" ref="G58" si="13">F58*7</f>
        <v>16691.111111111109</v>
      </c>
      <c r="H58" s="136">
        <f>'death rates'!I20</f>
        <v>73917.777777777781</v>
      </c>
      <c r="I58" s="216">
        <f t="shared" ref="I58" si="14">G58*4/G$52</f>
        <v>12.419520523170855</v>
      </c>
      <c r="J58" s="135">
        <f t="shared" si="6"/>
        <v>1418623.111111111</v>
      </c>
      <c r="K58" s="216">
        <f t="shared" si="7"/>
        <v>29.667539315982818</v>
      </c>
      <c r="L58" s="216">
        <f>AVERAGE(B20:B24)</f>
        <v>20</v>
      </c>
    </row>
    <row r="59" spans="1:12" x14ac:dyDescent="0.2">
      <c r="A59" s="130">
        <f>'death rates'!A21</f>
        <v>44197</v>
      </c>
      <c r="B59" s="135">
        <f>'death rates'!B21</f>
        <v>19663976</v>
      </c>
      <c r="C59" s="135">
        <f>'death rates'!C21</f>
        <v>199654.77272727274</v>
      </c>
      <c r="D59" s="135">
        <f>'death rates'!D21</f>
        <v>341199</v>
      </c>
      <c r="E59" s="133">
        <f>'death rates'!F21</f>
        <v>2.5372431879617126</v>
      </c>
      <c r="F59" s="136">
        <f>'death rates'!G21</f>
        <v>2383.7741935483873</v>
      </c>
      <c r="G59" s="137">
        <f t="shared" ref="G59" si="15">F59*7</f>
        <v>16686.419354838712</v>
      </c>
      <c r="H59" s="136">
        <f>'death rates'!I21</f>
        <v>73897</v>
      </c>
      <c r="J59" s="136"/>
      <c r="L59" s="216">
        <f>AVERAGE(B25:B28)</f>
        <v>6</v>
      </c>
    </row>
    <row r="60" spans="1:12" x14ac:dyDescent="0.2">
      <c r="A60" s="130">
        <f>'death rates'!A22</f>
        <v>44228</v>
      </c>
      <c r="B60" s="135"/>
      <c r="C60" s="135"/>
      <c r="D60" s="135"/>
      <c r="E60" s="133"/>
      <c r="F60" s="136"/>
      <c r="G60" s="136"/>
      <c r="H60" s="136"/>
      <c r="J60" s="136"/>
      <c r="L60" s="216">
        <f>AVERAGE(B29:B32)</f>
        <v>1.3</v>
      </c>
    </row>
    <row r="61" spans="1:12" x14ac:dyDescent="0.2">
      <c r="A61" s="130">
        <f>'death rates'!A23</f>
        <v>44256</v>
      </c>
      <c r="L61" s="216">
        <f>AVERAGE(B33:B36)</f>
        <v>4.6749999999999998</v>
      </c>
    </row>
    <row r="62" spans="1:12" x14ac:dyDescent="0.2">
      <c r="A62" s="130">
        <f>'death rates'!A24</f>
        <v>44287</v>
      </c>
      <c r="B62" s="135"/>
      <c r="C62" s="135"/>
      <c r="D62" s="135"/>
      <c r="E62" s="133"/>
      <c r="F62" s="136"/>
      <c r="G62" s="136"/>
      <c r="H62" s="136"/>
      <c r="J62" s="136"/>
      <c r="L62" s="216">
        <f>AVERAGE(B37:B41)</f>
        <v>7.7</v>
      </c>
    </row>
    <row r="63" spans="1:12" x14ac:dyDescent="0.2">
      <c r="A63" s="130">
        <f>'death rates'!A25</f>
        <v>44317</v>
      </c>
      <c r="L63" s="216">
        <f>AVERAGE(B42:B45)</f>
        <v>2.5</v>
      </c>
    </row>
    <row r="65" spans="1:11" x14ac:dyDescent="0.2">
      <c r="A65" s="129" t="s">
        <v>1264</v>
      </c>
      <c r="B65" s="129" t="s">
        <v>1611</v>
      </c>
      <c r="C65" s="129" t="s">
        <v>250</v>
      </c>
      <c r="D65" s="129" t="s">
        <v>1612</v>
      </c>
      <c r="F65" s="129" t="s">
        <v>1613</v>
      </c>
      <c r="G65" s="129" t="s">
        <v>1614</v>
      </c>
    </row>
    <row r="66" spans="1:11" x14ac:dyDescent="0.2">
      <c r="A66" s="130">
        <v>43891</v>
      </c>
      <c r="C66" s="135">
        <v>29</v>
      </c>
      <c r="F66" s="135">
        <v>29</v>
      </c>
    </row>
    <row r="67" spans="1:11" x14ac:dyDescent="0.2">
      <c r="A67" s="130">
        <v>43922</v>
      </c>
      <c r="C67" s="135">
        <v>3717</v>
      </c>
      <c r="F67" s="135">
        <v>3717</v>
      </c>
    </row>
    <row r="68" spans="1:11" x14ac:dyDescent="0.2">
      <c r="A68" s="130">
        <v>43952</v>
      </c>
      <c r="C68" s="135">
        <v>58660</v>
      </c>
      <c r="F68" s="135">
        <v>58660</v>
      </c>
    </row>
    <row r="69" spans="1:11" x14ac:dyDescent="0.2">
      <c r="A69" s="130">
        <v>43983</v>
      </c>
      <c r="C69" s="135">
        <v>41294</v>
      </c>
      <c r="F69" s="135">
        <v>41294</v>
      </c>
    </row>
    <row r="70" spans="1:11" x14ac:dyDescent="0.2">
      <c r="A70" s="130">
        <v>44013</v>
      </c>
      <c r="C70" s="135">
        <v>23039</v>
      </c>
      <c r="F70" s="135">
        <v>23039</v>
      </c>
      <c r="G70" s="135">
        <f>SUM(C$66:C70)</f>
        <v>126739</v>
      </c>
    </row>
    <row r="71" spans="1:11" x14ac:dyDescent="0.2">
      <c r="A71" s="130"/>
      <c r="C71" s="135"/>
      <c r="F71" s="135"/>
      <c r="G71" s="135"/>
    </row>
    <row r="72" spans="1:11" ht="15" x14ac:dyDescent="0.25">
      <c r="A72" s="130"/>
      <c r="C72" s="138" t="s">
        <v>10</v>
      </c>
      <c r="E72" s="138" t="s">
        <v>10</v>
      </c>
      <c r="F72" s="135"/>
      <c r="G72" s="135"/>
      <c r="I72" s="138" t="s">
        <v>2113</v>
      </c>
      <c r="K72" s="138" t="s">
        <v>2113</v>
      </c>
    </row>
    <row r="73" spans="1:11" x14ac:dyDescent="0.2">
      <c r="A73" s="130">
        <v>44011</v>
      </c>
      <c r="B73" s="129">
        <v>0</v>
      </c>
      <c r="D73" s="129">
        <v>0</v>
      </c>
      <c r="H73" s="129">
        <v>0</v>
      </c>
      <c r="J73" s="129">
        <v>0</v>
      </c>
      <c r="K73" s="135"/>
    </row>
    <row r="74" spans="1:11" ht="15" x14ac:dyDescent="0.25">
      <c r="A74" s="130">
        <f t="shared" ref="A74:A116" si="16">A73+7</f>
        <v>44018</v>
      </c>
      <c r="B74" s="129">
        <v>4</v>
      </c>
      <c r="C74" s="138">
        <v>5771</v>
      </c>
      <c r="D74" s="129">
        <f>C74*4/C$74</f>
        <v>4</v>
      </c>
      <c r="E74" s="138">
        <v>5591</v>
      </c>
      <c r="H74" s="129">
        <v>4</v>
      </c>
      <c r="I74" s="140">
        <f>K74</f>
        <v>427394.03225806449</v>
      </c>
      <c r="J74" s="129">
        <f>I74*4/I$74</f>
        <v>4</v>
      </c>
      <c r="K74" s="135">
        <f>J53</f>
        <v>427394.03225806449</v>
      </c>
    </row>
    <row r="75" spans="1:11" x14ac:dyDescent="0.2">
      <c r="A75" s="130">
        <f t="shared" si="16"/>
        <v>44025</v>
      </c>
      <c r="B75" s="129">
        <v>5</v>
      </c>
      <c r="C75" s="139">
        <f>C$74*B75/4</f>
        <v>7213.75</v>
      </c>
      <c r="D75" s="129">
        <f t="shared" ref="D75:D77" si="17">C75*4/C$74</f>
        <v>5</v>
      </c>
      <c r="H75" s="129">
        <v>5</v>
      </c>
      <c r="I75" s="139">
        <f>I$74*H75/4</f>
        <v>534242.54032258061</v>
      </c>
      <c r="J75" s="129">
        <f t="shared" ref="J75:J77" si="18">I75*4/I$74</f>
        <v>5</v>
      </c>
      <c r="K75" s="135"/>
    </row>
    <row r="76" spans="1:11" x14ac:dyDescent="0.2">
      <c r="A76" s="130">
        <f t="shared" si="16"/>
        <v>44032</v>
      </c>
      <c r="B76" s="129">
        <v>4.5</v>
      </c>
      <c r="C76" s="139">
        <f>C$74*B76/4</f>
        <v>6492.375</v>
      </c>
      <c r="D76" s="129">
        <f t="shared" si="17"/>
        <v>4.5</v>
      </c>
      <c r="H76" s="129">
        <v>4.5</v>
      </c>
      <c r="I76" s="139">
        <f>I$74*H76/4</f>
        <v>480818.28629032255</v>
      </c>
      <c r="J76" s="129">
        <f t="shared" si="18"/>
        <v>4.5</v>
      </c>
      <c r="K76" s="135"/>
    </row>
    <row r="77" spans="1:11" x14ac:dyDescent="0.2">
      <c r="A77" s="130">
        <f t="shared" si="16"/>
        <v>44039</v>
      </c>
      <c r="B77" s="129">
        <v>2</v>
      </c>
      <c r="C77" s="139">
        <f>C$74*B77/4</f>
        <v>2885.5</v>
      </c>
      <c r="D77" s="129">
        <f t="shared" si="17"/>
        <v>2</v>
      </c>
      <c r="E77" s="139">
        <f>AVERAGE(C74:C77)</f>
        <v>5590.65625</v>
      </c>
      <c r="F77" s="135">
        <f>SUM(C74:C77)</f>
        <v>22362.625</v>
      </c>
      <c r="G77" s="135">
        <f>SUM(C$67:C77)</f>
        <v>149072.625</v>
      </c>
      <c r="H77" s="129">
        <v>2</v>
      </c>
      <c r="I77" s="139">
        <f>I$74*H77/4</f>
        <v>213697.01612903224</v>
      </c>
      <c r="J77" s="129">
        <f t="shared" si="18"/>
        <v>2</v>
      </c>
      <c r="K77" s="135"/>
    </row>
    <row r="78" spans="1:11" ht="15" x14ac:dyDescent="0.25">
      <c r="A78" s="130">
        <f t="shared" si="16"/>
        <v>44046</v>
      </c>
      <c r="B78" s="129">
        <v>1</v>
      </c>
      <c r="C78" s="140">
        <v>7915</v>
      </c>
      <c r="D78" s="143">
        <f>C78*4/C$74</f>
        <v>5.486050944377058</v>
      </c>
      <c r="E78" s="138">
        <v>7124</v>
      </c>
      <c r="H78" s="129">
        <v>1</v>
      </c>
      <c r="I78" s="140">
        <f>K78</f>
        <v>345589.77419354836</v>
      </c>
      <c r="J78" s="143">
        <f>I78*4/I$74</f>
        <v>3.2343902638760107</v>
      </c>
      <c r="K78" s="135">
        <f>J54</f>
        <v>345589.77419354836</v>
      </c>
    </row>
    <row r="79" spans="1:11" x14ac:dyDescent="0.2">
      <c r="A79" s="130">
        <f t="shared" si="16"/>
        <v>44053</v>
      </c>
      <c r="B79" s="129">
        <v>0.5</v>
      </c>
      <c r="C79" s="139">
        <f>C$78*B79/1</f>
        <v>3957.5</v>
      </c>
      <c r="D79" s="143">
        <f t="shared" ref="D79:D86" si="19">C79*4/C$74</f>
        <v>2.743025472188529</v>
      </c>
      <c r="H79" s="129">
        <v>0.5</v>
      </c>
      <c r="I79" s="139">
        <f>I$78*H79/1</f>
        <v>172794.88709677418</v>
      </c>
      <c r="J79" s="143">
        <f t="shared" ref="J79:J86" si="20">I79*4/I$74</f>
        <v>1.6171951319380053</v>
      </c>
      <c r="K79" s="135"/>
    </row>
    <row r="80" spans="1:11" x14ac:dyDescent="0.2">
      <c r="A80" s="130">
        <f t="shared" si="16"/>
        <v>44060</v>
      </c>
      <c r="B80" s="129">
        <v>1</v>
      </c>
      <c r="C80" s="139">
        <f>C$78*B80/1</f>
        <v>7915</v>
      </c>
      <c r="D80" s="143">
        <f t="shared" si="19"/>
        <v>5.486050944377058</v>
      </c>
      <c r="H80" s="129">
        <v>1</v>
      </c>
      <c r="I80" s="139">
        <f>I$78*H80/1</f>
        <v>345589.77419354836</v>
      </c>
      <c r="J80" s="143">
        <f t="shared" si="20"/>
        <v>3.2343902638760107</v>
      </c>
      <c r="K80" s="135"/>
    </row>
    <row r="81" spans="1:23" x14ac:dyDescent="0.2">
      <c r="A81" s="130">
        <f t="shared" si="16"/>
        <v>44067</v>
      </c>
      <c r="B81" s="129">
        <v>1</v>
      </c>
      <c r="C81" s="139">
        <f>C$78*B81/1</f>
        <v>7915</v>
      </c>
      <c r="D81" s="143">
        <f t="shared" si="19"/>
        <v>5.486050944377058</v>
      </c>
      <c r="H81" s="129">
        <v>1</v>
      </c>
      <c r="I81" s="139">
        <f>I$78*H81/1</f>
        <v>345589.77419354836</v>
      </c>
      <c r="J81" s="143">
        <f t="shared" si="20"/>
        <v>3.2343902638760107</v>
      </c>
      <c r="K81" s="135"/>
    </row>
    <row r="82" spans="1:23" x14ac:dyDescent="0.2">
      <c r="A82" s="130">
        <f t="shared" si="16"/>
        <v>44074</v>
      </c>
      <c r="B82" s="129">
        <v>1</v>
      </c>
      <c r="C82" s="139">
        <f>C$78*B82/1</f>
        <v>7915</v>
      </c>
      <c r="D82" s="143">
        <f t="shared" si="19"/>
        <v>5.486050944377058</v>
      </c>
      <c r="E82" s="139">
        <f>AVERAGE(C78:C82)</f>
        <v>7123.5</v>
      </c>
      <c r="F82" s="135">
        <f>SUM(C78:C82)</f>
        <v>35617.5</v>
      </c>
      <c r="G82" s="135">
        <f>SUM(C$67:C82)</f>
        <v>184690.125</v>
      </c>
      <c r="H82" s="129">
        <v>1</v>
      </c>
      <c r="I82" s="139">
        <f>I$78*H82/1</f>
        <v>345589.77419354836</v>
      </c>
      <c r="J82" s="143">
        <f t="shared" si="20"/>
        <v>3.2343902638760107</v>
      </c>
      <c r="K82" s="135"/>
    </row>
    <row r="83" spans="1:23" ht="15" x14ac:dyDescent="0.25">
      <c r="A83" s="130">
        <f t="shared" si="16"/>
        <v>44081</v>
      </c>
      <c r="B83" s="129">
        <v>1</v>
      </c>
      <c r="C83" s="138">
        <v>5449</v>
      </c>
      <c r="D83" s="143">
        <f t="shared" si="19"/>
        <v>3.7768151100329233</v>
      </c>
      <c r="E83" s="138">
        <v>5449</v>
      </c>
      <c r="H83" s="129">
        <v>1</v>
      </c>
      <c r="I83" s="140">
        <f>K83</f>
        <v>282094.39999999997</v>
      </c>
      <c r="J83" s="143">
        <f t="shared" si="20"/>
        <v>2.6401341966297625</v>
      </c>
      <c r="K83" s="135">
        <f>J55</f>
        <v>282094.39999999997</v>
      </c>
    </row>
    <row r="84" spans="1:23" x14ac:dyDescent="0.2">
      <c r="A84" s="130">
        <f t="shared" si="16"/>
        <v>44088</v>
      </c>
      <c r="B84" s="129">
        <v>1</v>
      </c>
      <c r="C84" s="139">
        <f>C$83*B84/1</f>
        <v>5449</v>
      </c>
      <c r="D84" s="143">
        <f t="shared" si="19"/>
        <v>3.7768151100329233</v>
      </c>
      <c r="H84" s="129">
        <v>1</v>
      </c>
      <c r="I84" s="139">
        <f>I$83*H84/1</f>
        <v>282094.39999999997</v>
      </c>
      <c r="J84" s="143">
        <f t="shared" si="20"/>
        <v>2.6401341966297625</v>
      </c>
      <c r="K84" s="135"/>
    </row>
    <row r="85" spans="1:23" x14ac:dyDescent="0.2">
      <c r="A85" s="130">
        <f t="shared" si="16"/>
        <v>44095</v>
      </c>
      <c r="B85" s="129">
        <v>1</v>
      </c>
      <c r="C85" s="139">
        <f>C$83*B85/1</f>
        <v>5449</v>
      </c>
      <c r="D85" s="143">
        <f t="shared" si="19"/>
        <v>3.7768151100329233</v>
      </c>
      <c r="G85" s="135">
        <f>SUM(C$67:C85)</f>
        <v>201037.125</v>
      </c>
      <c r="H85" s="129">
        <v>1</v>
      </c>
      <c r="I85" s="139">
        <f>I$83*H85/1</f>
        <v>282094.39999999997</v>
      </c>
      <c r="J85" s="143">
        <f t="shared" si="20"/>
        <v>2.6401341966297625</v>
      </c>
      <c r="K85" s="135"/>
    </row>
    <row r="86" spans="1:23" x14ac:dyDescent="0.2">
      <c r="A86" s="130">
        <f t="shared" si="16"/>
        <v>44102</v>
      </c>
      <c r="B86" s="129">
        <v>1</v>
      </c>
      <c r="C86" s="139">
        <f>C$83*B86/1</f>
        <v>5449</v>
      </c>
      <c r="D86" s="143">
        <f t="shared" si="19"/>
        <v>3.7768151100329233</v>
      </c>
      <c r="E86" s="139">
        <f>AVERAGE(C83:C86)</f>
        <v>5449</v>
      </c>
      <c r="F86" s="135">
        <f>SUM(C83:C86)</f>
        <v>21796</v>
      </c>
      <c r="G86" s="135">
        <f>SUM(C$67:C86)</f>
        <v>206486.125</v>
      </c>
      <c r="H86" s="129">
        <v>1</v>
      </c>
      <c r="I86" s="139">
        <f>I$83*H86/1</f>
        <v>282094.39999999997</v>
      </c>
      <c r="J86" s="143">
        <f t="shared" si="20"/>
        <v>2.6401341966297625</v>
      </c>
      <c r="K86" s="135"/>
    </row>
    <row r="87" spans="1:23" ht="15" x14ac:dyDescent="0.25">
      <c r="A87" s="130">
        <f t="shared" si="16"/>
        <v>44109</v>
      </c>
      <c r="B87" s="129">
        <v>3</v>
      </c>
      <c r="C87" s="140">
        <v>2278</v>
      </c>
      <c r="D87" s="143">
        <f>C87*4/C$74</f>
        <v>1.5789291284006237</v>
      </c>
      <c r="E87" s="138">
        <v>5313</v>
      </c>
      <c r="H87" s="129">
        <v>3</v>
      </c>
      <c r="I87" s="140">
        <v>183000</v>
      </c>
      <c r="J87" s="143">
        <f>I87*4/I$74</f>
        <v>1.7127052432917724</v>
      </c>
      <c r="K87" s="135">
        <f>J56</f>
        <v>427183.12903225806</v>
      </c>
    </row>
    <row r="88" spans="1:23" x14ac:dyDescent="0.2">
      <c r="A88" s="130">
        <f t="shared" si="16"/>
        <v>44116</v>
      </c>
      <c r="B88" s="129">
        <v>5</v>
      </c>
      <c r="C88" s="139">
        <f>C$87*B88/3</f>
        <v>3796.6666666666665</v>
      </c>
      <c r="D88" s="143">
        <f t="shared" ref="D88:D116" si="21">C88*4/C$74</f>
        <v>2.6315485473343729</v>
      </c>
      <c r="H88" s="129">
        <v>5</v>
      </c>
      <c r="I88" s="139">
        <f>I$87*H88/3</f>
        <v>305000</v>
      </c>
      <c r="J88" s="143">
        <f t="shared" ref="J88:J116" si="22">I88*4/I$74</f>
        <v>2.8545087388196206</v>
      </c>
      <c r="K88" s="135"/>
    </row>
    <row r="89" spans="1:23" x14ac:dyDescent="0.2">
      <c r="A89" s="130">
        <f t="shared" si="16"/>
        <v>44123</v>
      </c>
      <c r="B89" s="129">
        <v>8</v>
      </c>
      <c r="C89" s="139">
        <f t="shared" ref="C89:C90" si="23">C$87*B89/3</f>
        <v>6074.666666666667</v>
      </c>
      <c r="D89" s="143">
        <f t="shared" si="21"/>
        <v>4.2104776757349969</v>
      </c>
      <c r="H89" s="129">
        <v>8</v>
      </c>
      <c r="I89" s="139">
        <f t="shared" ref="I89:I90" si="24">I$87*H89/3</f>
        <v>488000</v>
      </c>
      <c r="J89" s="143">
        <f t="shared" si="22"/>
        <v>4.5672139821113937</v>
      </c>
      <c r="K89" s="135"/>
    </row>
    <row r="90" spans="1:23" x14ac:dyDescent="0.2">
      <c r="A90" s="130">
        <f t="shared" si="16"/>
        <v>44130</v>
      </c>
      <c r="B90" s="129">
        <v>12</v>
      </c>
      <c r="C90" s="139">
        <f t="shared" si="23"/>
        <v>9112</v>
      </c>
      <c r="D90" s="143">
        <f t="shared" si="21"/>
        <v>6.3157165136024949</v>
      </c>
      <c r="E90" s="139">
        <f>AVERAGE(C87:C90)</f>
        <v>5315.333333333333</v>
      </c>
      <c r="F90" s="135">
        <f>SUM(C87:C90)</f>
        <v>21261.333333333332</v>
      </c>
      <c r="G90" s="135">
        <f>SUM(C$67:C90)</f>
        <v>227747.45833333331</v>
      </c>
      <c r="H90" s="129">
        <v>12</v>
      </c>
      <c r="I90" s="139">
        <f t="shared" si="24"/>
        <v>732000</v>
      </c>
      <c r="J90" s="143">
        <f t="shared" si="22"/>
        <v>6.8508209731670897</v>
      </c>
      <c r="K90" s="135">
        <f>AVERAGE(I87:I90)</f>
        <v>427000</v>
      </c>
    </row>
    <row r="91" spans="1:23" ht="15" x14ac:dyDescent="0.25">
      <c r="A91" s="130">
        <f t="shared" si="16"/>
        <v>44137</v>
      </c>
      <c r="B91" s="129">
        <v>22</v>
      </c>
      <c r="C91" s="139">
        <v>9575</v>
      </c>
      <c r="D91" s="143">
        <f t="shared" si="21"/>
        <v>6.6366314330272047</v>
      </c>
      <c r="E91" s="138">
        <v>8720</v>
      </c>
      <c r="H91" s="129">
        <v>22</v>
      </c>
      <c r="I91" s="140">
        <v>1200000</v>
      </c>
      <c r="J91" s="143">
        <f t="shared" si="22"/>
        <v>11.230854054372278</v>
      </c>
      <c r="K91" s="135">
        <f>'death rates'!C19*7</f>
        <v>1013225.9666666668</v>
      </c>
    </row>
    <row r="92" spans="1:23" x14ac:dyDescent="0.2">
      <c r="A92" s="130">
        <f t="shared" si="16"/>
        <v>44144</v>
      </c>
      <c r="B92" s="129">
        <v>24</v>
      </c>
      <c r="C92" s="139">
        <f>C$91*B92/22</f>
        <v>10445.454545454546</v>
      </c>
      <c r="D92" s="143">
        <f t="shared" si="21"/>
        <v>7.2399615633024057</v>
      </c>
      <c r="H92" s="129">
        <v>24</v>
      </c>
      <c r="I92" s="139">
        <f>I$91*H92/22</f>
        <v>1309090.9090909092</v>
      </c>
      <c r="J92" s="143">
        <f t="shared" si="22"/>
        <v>12.251840786587941</v>
      </c>
      <c r="K92" s="135"/>
    </row>
    <row r="93" spans="1:23" x14ac:dyDescent="0.2">
      <c r="A93" s="130">
        <f t="shared" si="16"/>
        <v>44151</v>
      </c>
      <c r="B93" s="129">
        <v>19</v>
      </c>
      <c r="C93" s="139">
        <f t="shared" ref="C93:C95" si="25">C$91*B93/22</f>
        <v>8269.318181818182</v>
      </c>
      <c r="D93" s="143">
        <f t="shared" si="21"/>
        <v>5.7316362376144045</v>
      </c>
      <c r="H93" s="129">
        <v>19</v>
      </c>
      <c r="I93" s="139">
        <f t="shared" ref="I93:I95" si="26">I$91*H93/22</f>
        <v>1036363.6363636364</v>
      </c>
      <c r="J93" s="143">
        <f t="shared" si="22"/>
        <v>9.6993739560487864</v>
      </c>
      <c r="K93" s="135"/>
      <c r="N93" s="141"/>
      <c r="O93" s="141"/>
      <c r="P93" s="141"/>
      <c r="Q93" s="141"/>
      <c r="R93" s="141"/>
      <c r="S93" s="141"/>
      <c r="T93" s="141"/>
      <c r="U93" s="141"/>
      <c r="V93" s="141"/>
      <c r="W93" s="141"/>
    </row>
    <row r="94" spans="1:23" ht="15" x14ac:dyDescent="0.25">
      <c r="A94" s="130">
        <f t="shared" si="16"/>
        <v>44158</v>
      </c>
      <c r="B94" s="129">
        <v>18</v>
      </c>
      <c r="C94" s="139">
        <f t="shared" si="25"/>
        <v>7834.090909090909</v>
      </c>
      <c r="D94" s="143">
        <f t="shared" si="21"/>
        <v>5.4299711724768036</v>
      </c>
      <c r="E94" s="139"/>
      <c r="H94" s="129">
        <v>18</v>
      </c>
      <c r="I94" s="139">
        <f t="shared" si="26"/>
        <v>981818.18181818177</v>
      </c>
      <c r="J94" s="143">
        <f t="shared" si="22"/>
        <v>9.188880589940954</v>
      </c>
      <c r="K94" s="135"/>
      <c r="N94" s="142" t="s">
        <v>2221</v>
      </c>
      <c r="O94" s="141"/>
      <c r="P94" s="141"/>
      <c r="Q94" s="141"/>
      <c r="R94" s="141"/>
      <c r="S94" s="141"/>
      <c r="T94" s="141"/>
      <c r="U94" s="141"/>
      <c r="V94" s="141"/>
      <c r="W94" s="141"/>
    </row>
    <row r="95" spans="1:23" ht="15" x14ac:dyDescent="0.25">
      <c r="A95" s="130">
        <f t="shared" si="16"/>
        <v>44165</v>
      </c>
      <c r="B95" s="129">
        <v>17</v>
      </c>
      <c r="C95" s="139">
        <f t="shared" si="25"/>
        <v>7398.863636363636</v>
      </c>
      <c r="D95" s="143">
        <f t="shared" si="21"/>
        <v>5.1283061073392036</v>
      </c>
      <c r="E95" s="139">
        <f>AVERAGE(C91:C95)</f>
        <v>8704.5454545454559</v>
      </c>
      <c r="F95" s="135">
        <f>SUM(C91:C95)</f>
        <v>43522.727272727279</v>
      </c>
      <c r="G95" s="135">
        <f>SUM(C$67:C95)</f>
        <v>271270.18560606061</v>
      </c>
      <c r="H95" s="129">
        <v>17</v>
      </c>
      <c r="I95" s="139">
        <f t="shared" si="26"/>
        <v>927272.72727272729</v>
      </c>
      <c r="J95" s="143">
        <f t="shared" si="22"/>
        <v>8.6783872238331252</v>
      </c>
      <c r="K95" s="135">
        <f>AVERAGE(I91:I95)</f>
        <v>1090909.0909090911</v>
      </c>
      <c r="N95" s="142" t="s">
        <v>1624</v>
      </c>
      <c r="O95" s="141"/>
      <c r="P95" s="141"/>
      <c r="Q95" s="141"/>
      <c r="R95" s="141"/>
      <c r="S95" s="141"/>
      <c r="T95" s="141"/>
      <c r="U95" s="141"/>
      <c r="V95" s="141"/>
      <c r="W95" s="141"/>
    </row>
    <row r="96" spans="1:23" ht="15" x14ac:dyDescent="0.25">
      <c r="A96" s="222">
        <f t="shared" si="16"/>
        <v>44172</v>
      </c>
      <c r="B96" s="223">
        <v>12</v>
      </c>
      <c r="C96" s="225">
        <v>16991</v>
      </c>
      <c r="D96" s="224">
        <f t="shared" si="21"/>
        <v>11.776815110032922</v>
      </c>
      <c r="E96" s="223"/>
      <c r="F96" s="223"/>
      <c r="G96" s="223"/>
      <c r="H96" s="223">
        <v>12</v>
      </c>
      <c r="I96" s="225">
        <v>1418000</v>
      </c>
      <c r="J96" s="224">
        <f t="shared" si="22"/>
        <v>13.271125874249909</v>
      </c>
      <c r="K96" s="135">
        <f>J58</f>
        <v>1418623.111111111</v>
      </c>
      <c r="N96" s="142" t="s">
        <v>2224</v>
      </c>
      <c r="O96" s="141"/>
      <c r="P96" s="141"/>
      <c r="Q96" s="141"/>
      <c r="R96" s="141"/>
      <c r="S96" s="141"/>
      <c r="T96" s="141"/>
      <c r="U96" s="141"/>
      <c r="V96" s="141"/>
      <c r="W96" s="141"/>
    </row>
    <row r="97" spans="1:23" x14ac:dyDescent="0.2">
      <c r="A97" s="130">
        <f t="shared" si="16"/>
        <v>44179</v>
      </c>
      <c r="B97" s="129">
        <v>6</v>
      </c>
      <c r="C97" s="139">
        <f>C96</f>
        <v>16991</v>
      </c>
      <c r="D97" s="143">
        <f t="shared" si="21"/>
        <v>11.776815110032922</v>
      </c>
      <c r="H97" s="129">
        <v>6</v>
      </c>
      <c r="I97" s="139">
        <f t="shared" ref="I97:I116" si="27">I$96*H97/12</f>
        <v>709000</v>
      </c>
      <c r="J97" s="143">
        <f t="shared" si="22"/>
        <v>6.6355629371249547</v>
      </c>
      <c r="N97" s="141"/>
      <c r="O97" s="141"/>
      <c r="P97" s="141"/>
      <c r="Q97" s="141"/>
      <c r="R97" s="141"/>
      <c r="S97" s="141"/>
      <c r="T97" s="141"/>
      <c r="U97" s="141"/>
      <c r="V97" s="141"/>
      <c r="W97" s="141"/>
    </row>
    <row r="98" spans="1:23" x14ac:dyDescent="0.2">
      <c r="A98" s="130">
        <f t="shared" si="16"/>
        <v>44186</v>
      </c>
      <c r="B98" s="129">
        <v>4</v>
      </c>
      <c r="C98" s="139">
        <f>C97</f>
        <v>16991</v>
      </c>
      <c r="D98" s="143">
        <f t="shared" si="21"/>
        <v>11.776815110032922</v>
      </c>
      <c r="F98" s="135"/>
      <c r="H98" s="129">
        <v>4</v>
      </c>
      <c r="I98" s="139">
        <f t="shared" si="27"/>
        <v>472666.66666666669</v>
      </c>
      <c r="J98" s="143">
        <f t="shared" si="22"/>
        <v>4.4237086247499704</v>
      </c>
    </row>
    <row r="99" spans="1:23" ht="15" x14ac:dyDescent="0.25">
      <c r="A99" s="130">
        <f t="shared" si="16"/>
        <v>44193</v>
      </c>
      <c r="B99" s="129">
        <v>2</v>
      </c>
      <c r="C99" s="140">
        <v>16685</v>
      </c>
      <c r="D99" s="143">
        <f t="shared" si="21"/>
        <v>11.56472015248657</v>
      </c>
      <c r="E99" s="140">
        <v>16685</v>
      </c>
      <c r="F99" s="135">
        <f>SUM(C96:C99)</f>
        <v>67658</v>
      </c>
      <c r="G99" s="145">
        <f>SUM(C$67:C99)</f>
        <v>338928.18560606061</v>
      </c>
      <c r="H99" s="129">
        <v>2</v>
      </c>
      <c r="I99" s="139">
        <f t="shared" si="27"/>
        <v>236333.33333333334</v>
      </c>
      <c r="J99" s="143">
        <f t="shared" si="22"/>
        <v>2.2118543123749852</v>
      </c>
      <c r="K99" s="135">
        <f>AVERAGE(I96:I99)</f>
        <v>709000</v>
      </c>
    </row>
    <row r="100" spans="1:23" x14ac:dyDescent="0.2">
      <c r="A100" s="130">
        <f t="shared" si="16"/>
        <v>44200</v>
      </c>
      <c r="B100" s="129">
        <v>1.5</v>
      </c>
      <c r="C100" s="139">
        <f t="shared" ref="C100:C116" si="28">C$96*B100/12</f>
        <v>2123.875</v>
      </c>
      <c r="D100" s="143">
        <f t="shared" si="21"/>
        <v>1.4721018887541153</v>
      </c>
      <c r="H100" s="129">
        <v>1.5</v>
      </c>
      <c r="I100" s="139">
        <f t="shared" si="27"/>
        <v>177250</v>
      </c>
      <c r="J100" s="143">
        <f t="shared" si="22"/>
        <v>1.6588907342812387</v>
      </c>
    </row>
    <row r="101" spans="1:23" x14ac:dyDescent="0.2">
      <c r="A101" s="130">
        <f t="shared" si="16"/>
        <v>44207</v>
      </c>
      <c r="B101" s="129">
        <v>1.5</v>
      </c>
      <c r="C101" s="139">
        <f t="shared" si="28"/>
        <v>2123.875</v>
      </c>
      <c r="D101" s="143">
        <f t="shared" si="21"/>
        <v>1.4721018887541153</v>
      </c>
      <c r="H101" s="129">
        <v>1.5</v>
      </c>
      <c r="I101" s="139">
        <f t="shared" si="27"/>
        <v>177250</v>
      </c>
      <c r="J101" s="143">
        <f t="shared" si="22"/>
        <v>1.6588907342812387</v>
      </c>
    </row>
    <row r="102" spans="1:23" x14ac:dyDescent="0.2">
      <c r="A102" s="130">
        <f t="shared" si="16"/>
        <v>44214</v>
      </c>
      <c r="B102" s="129">
        <v>1.2</v>
      </c>
      <c r="C102" s="139">
        <f t="shared" si="28"/>
        <v>1699.1000000000001</v>
      </c>
      <c r="D102" s="143">
        <f t="shared" si="21"/>
        <v>1.1776815110032923</v>
      </c>
      <c r="H102" s="129">
        <v>1.2</v>
      </c>
      <c r="I102" s="139">
        <f t="shared" si="27"/>
        <v>141800</v>
      </c>
      <c r="J102" s="143">
        <f t="shared" si="22"/>
        <v>1.3271125874249909</v>
      </c>
    </row>
    <row r="103" spans="1:23" x14ac:dyDescent="0.2">
      <c r="A103" s="130">
        <f t="shared" si="16"/>
        <v>44221</v>
      </c>
      <c r="B103" s="129">
        <v>1</v>
      </c>
      <c r="C103" s="139">
        <f t="shared" si="28"/>
        <v>1415.9166666666667</v>
      </c>
      <c r="D103" s="143">
        <f t="shared" si="21"/>
        <v>0.98140125916941034</v>
      </c>
      <c r="F103" s="135">
        <f>SUM(C100:C103)</f>
        <v>7362.7666666666673</v>
      </c>
      <c r="G103" s="135">
        <f>SUM(C$67:C103)</f>
        <v>346290.95227272727</v>
      </c>
      <c r="H103" s="129">
        <v>1</v>
      </c>
      <c r="I103" s="139">
        <f t="shared" si="27"/>
        <v>118166.66666666667</v>
      </c>
      <c r="J103" s="143">
        <f t="shared" si="22"/>
        <v>1.1059271561874926</v>
      </c>
    </row>
    <row r="104" spans="1:23" x14ac:dyDescent="0.2">
      <c r="A104" s="130">
        <f t="shared" si="16"/>
        <v>44228</v>
      </c>
      <c r="B104" s="129">
        <v>1.2</v>
      </c>
      <c r="C104" s="139">
        <f t="shared" si="28"/>
        <v>1699.1000000000001</v>
      </c>
      <c r="D104" s="143">
        <f t="shared" si="21"/>
        <v>1.1776815110032923</v>
      </c>
      <c r="H104" s="129">
        <v>1.2</v>
      </c>
      <c r="I104" s="139">
        <f t="shared" si="27"/>
        <v>141800</v>
      </c>
      <c r="J104" s="143">
        <f t="shared" si="22"/>
        <v>1.3271125874249909</v>
      </c>
    </row>
    <row r="105" spans="1:23" x14ac:dyDescent="0.2">
      <c r="A105" s="130">
        <f t="shared" si="16"/>
        <v>44235</v>
      </c>
      <c r="B105" s="129">
        <v>2.5</v>
      </c>
      <c r="C105" s="139">
        <f t="shared" si="28"/>
        <v>3539.7916666666665</v>
      </c>
      <c r="D105" s="143">
        <f t="shared" si="21"/>
        <v>2.4535031479235254</v>
      </c>
      <c r="H105" s="129">
        <v>2.5</v>
      </c>
      <c r="I105" s="139">
        <f t="shared" si="27"/>
        <v>295416.66666666669</v>
      </c>
      <c r="J105" s="143">
        <f t="shared" si="22"/>
        <v>2.7648178904687315</v>
      </c>
    </row>
    <row r="106" spans="1:23" x14ac:dyDescent="0.2">
      <c r="A106" s="130">
        <f t="shared" si="16"/>
        <v>44242</v>
      </c>
      <c r="B106" s="129">
        <v>6</v>
      </c>
      <c r="C106" s="139">
        <f t="shared" si="28"/>
        <v>8495.5</v>
      </c>
      <c r="D106" s="143">
        <f t="shared" si="21"/>
        <v>5.8884075550164612</v>
      </c>
      <c r="H106" s="129">
        <v>6</v>
      </c>
      <c r="I106" s="139">
        <f t="shared" si="27"/>
        <v>709000</v>
      </c>
      <c r="J106" s="143">
        <f t="shared" si="22"/>
        <v>6.6355629371249547</v>
      </c>
    </row>
    <row r="107" spans="1:23" x14ac:dyDescent="0.2">
      <c r="A107" s="130">
        <f t="shared" si="16"/>
        <v>44249</v>
      </c>
      <c r="B107" s="129">
        <v>9</v>
      </c>
      <c r="C107" s="139">
        <f t="shared" si="28"/>
        <v>12743.25</v>
      </c>
      <c r="D107" s="143">
        <f t="shared" si="21"/>
        <v>8.8326113325246922</v>
      </c>
      <c r="F107" s="135">
        <f>SUM(C104:C107)</f>
        <v>26477.641666666666</v>
      </c>
      <c r="G107" s="135">
        <f>SUM(C$67:C107)</f>
        <v>372768.59393939393</v>
      </c>
      <c r="H107" s="129">
        <v>9</v>
      </c>
      <c r="I107" s="139">
        <f t="shared" si="27"/>
        <v>1063500</v>
      </c>
      <c r="J107" s="143">
        <f t="shared" si="22"/>
        <v>9.9533444056874316</v>
      </c>
    </row>
    <row r="108" spans="1:23" x14ac:dyDescent="0.2">
      <c r="A108" s="130">
        <f t="shared" si="16"/>
        <v>44256</v>
      </c>
      <c r="B108" s="129">
        <v>11.5</v>
      </c>
      <c r="C108" s="139">
        <f t="shared" si="28"/>
        <v>16283.041666666666</v>
      </c>
      <c r="D108" s="143">
        <f t="shared" si="21"/>
        <v>11.286114480448218</v>
      </c>
      <c r="H108" s="129">
        <v>11.5</v>
      </c>
      <c r="I108" s="139">
        <f t="shared" si="27"/>
        <v>1358916.6666666667</v>
      </c>
      <c r="J108" s="143">
        <f t="shared" si="22"/>
        <v>12.718162296156164</v>
      </c>
    </row>
    <row r="109" spans="1:23" x14ac:dyDescent="0.2">
      <c r="A109" s="130">
        <f t="shared" si="16"/>
        <v>44263</v>
      </c>
      <c r="B109" s="129">
        <v>10</v>
      </c>
      <c r="C109" s="139">
        <f t="shared" si="28"/>
        <v>14159.166666666666</v>
      </c>
      <c r="D109" s="143">
        <f t="shared" si="21"/>
        <v>9.8140125916941017</v>
      </c>
      <c r="H109" s="129">
        <v>10</v>
      </c>
      <c r="I109" s="139">
        <f t="shared" si="27"/>
        <v>1181666.6666666667</v>
      </c>
      <c r="J109" s="143">
        <f t="shared" si="22"/>
        <v>11.059271561874926</v>
      </c>
    </row>
    <row r="110" spans="1:23" x14ac:dyDescent="0.2">
      <c r="A110" s="130">
        <f t="shared" si="16"/>
        <v>44270</v>
      </c>
      <c r="B110" s="129">
        <v>8</v>
      </c>
      <c r="C110" s="139">
        <f t="shared" si="28"/>
        <v>11327.333333333334</v>
      </c>
      <c r="D110" s="143">
        <f t="shared" si="21"/>
        <v>7.8512100733552828</v>
      </c>
      <c r="H110" s="129">
        <v>8</v>
      </c>
      <c r="I110" s="139">
        <f t="shared" si="27"/>
        <v>945333.33333333337</v>
      </c>
      <c r="J110" s="143">
        <f t="shared" si="22"/>
        <v>8.8474172494999408</v>
      </c>
    </row>
    <row r="111" spans="1:23" x14ac:dyDescent="0.2">
      <c r="A111" s="130">
        <f t="shared" si="16"/>
        <v>44277</v>
      </c>
      <c r="B111" s="129">
        <v>5</v>
      </c>
      <c r="C111" s="139">
        <f t="shared" si="28"/>
        <v>7079.583333333333</v>
      </c>
      <c r="D111" s="143">
        <f t="shared" si="21"/>
        <v>4.9070062958470508</v>
      </c>
      <c r="H111" s="129">
        <v>5</v>
      </c>
      <c r="I111" s="139">
        <f t="shared" si="27"/>
        <v>590833.33333333337</v>
      </c>
      <c r="J111" s="143">
        <f t="shared" si="22"/>
        <v>5.529635780937463</v>
      </c>
    </row>
    <row r="112" spans="1:23" x14ac:dyDescent="0.2">
      <c r="A112" s="130">
        <f t="shared" si="16"/>
        <v>44284</v>
      </c>
      <c r="B112" s="129">
        <v>4</v>
      </c>
      <c r="C112" s="139">
        <f t="shared" si="28"/>
        <v>5663.666666666667</v>
      </c>
      <c r="D112" s="143">
        <f t="shared" si="21"/>
        <v>3.9256050366776414</v>
      </c>
      <c r="F112" s="135">
        <f>SUM(C108:C112)</f>
        <v>54512.791666666664</v>
      </c>
      <c r="G112" s="135">
        <f>SUM(C$67:C112)</f>
        <v>427281.38560606062</v>
      </c>
      <c r="H112" s="129">
        <v>4</v>
      </c>
      <c r="I112" s="139">
        <f t="shared" si="27"/>
        <v>472666.66666666669</v>
      </c>
      <c r="J112" s="143">
        <f t="shared" si="22"/>
        <v>4.4237086247499704</v>
      </c>
    </row>
    <row r="113" spans="1:10" x14ac:dyDescent="0.2">
      <c r="A113" s="130">
        <f t="shared" si="16"/>
        <v>44291</v>
      </c>
      <c r="B113" s="129">
        <v>3</v>
      </c>
      <c r="C113" s="139">
        <f t="shared" si="28"/>
        <v>4247.75</v>
      </c>
      <c r="D113" s="143">
        <f t="shared" si="21"/>
        <v>2.9442037775082306</v>
      </c>
      <c r="H113" s="129">
        <v>3</v>
      </c>
      <c r="I113" s="139">
        <f t="shared" si="27"/>
        <v>354500</v>
      </c>
      <c r="J113" s="143">
        <f t="shared" si="22"/>
        <v>3.3177814685624774</v>
      </c>
    </row>
    <row r="114" spans="1:10" x14ac:dyDescent="0.2">
      <c r="A114" s="130">
        <f t="shared" si="16"/>
        <v>44298</v>
      </c>
      <c r="B114" s="129">
        <v>4</v>
      </c>
      <c r="C114" s="139">
        <f t="shared" si="28"/>
        <v>5663.666666666667</v>
      </c>
      <c r="D114" s="143">
        <f t="shared" si="21"/>
        <v>3.9256050366776414</v>
      </c>
      <c r="H114" s="129">
        <v>4</v>
      </c>
      <c r="I114" s="139">
        <f t="shared" si="27"/>
        <v>472666.66666666669</v>
      </c>
      <c r="J114" s="143">
        <f t="shared" si="22"/>
        <v>4.4237086247499704</v>
      </c>
    </row>
    <row r="115" spans="1:10" x14ac:dyDescent="0.2">
      <c r="A115" s="130">
        <f t="shared" si="16"/>
        <v>44305</v>
      </c>
      <c r="B115" s="129">
        <v>2</v>
      </c>
      <c r="C115" s="139">
        <f t="shared" si="28"/>
        <v>2831.8333333333335</v>
      </c>
      <c r="D115" s="143">
        <f t="shared" si="21"/>
        <v>1.9628025183388207</v>
      </c>
      <c r="H115" s="129">
        <v>2</v>
      </c>
      <c r="I115" s="139">
        <f t="shared" si="27"/>
        <v>236333.33333333334</v>
      </c>
      <c r="J115" s="143">
        <f t="shared" si="22"/>
        <v>2.2118543123749852</v>
      </c>
    </row>
    <row r="116" spans="1:10" x14ac:dyDescent="0.2">
      <c r="A116" s="130">
        <f t="shared" si="16"/>
        <v>44312</v>
      </c>
      <c r="B116" s="129">
        <v>1</v>
      </c>
      <c r="C116" s="139">
        <f t="shared" si="28"/>
        <v>1415.9166666666667</v>
      </c>
      <c r="D116" s="143">
        <f t="shared" si="21"/>
        <v>0.98140125916941034</v>
      </c>
      <c r="F116" s="135">
        <f>SUM(C113:C116)</f>
        <v>14159.166666666668</v>
      </c>
      <c r="G116" s="135">
        <f>SUM(C$67:C116)</f>
        <v>441440.55227272731</v>
      </c>
      <c r="H116" s="129">
        <v>1</v>
      </c>
      <c r="I116" s="139">
        <f t="shared" si="27"/>
        <v>118166.66666666667</v>
      </c>
      <c r="J116" s="143">
        <f t="shared" si="22"/>
        <v>1.1059271561874926</v>
      </c>
    </row>
    <row r="118" spans="1:10" ht="15" x14ac:dyDescent="0.25">
      <c r="C118" s="145">
        <f>SUM(C66:C116)</f>
        <v>441469.55227272731</v>
      </c>
    </row>
  </sheetData>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F0C80-F5D5-4E24-B5FE-2C1F7D728012}">
  <dimension ref="A1:J126"/>
  <sheetViews>
    <sheetView workbookViewId="0">
      <selection activeCell="J2" sqref="J2:J4"/>
    </sheetView>
  </sheetViews>
  <sheetFormatPr defaultRowHeight="15" x14ac:dyDescent="0.25"/>
  <cols>
    <col min="5" max="5" width="9.5703125" bestFit="1" customWidth="1"/>
  </cols>
  <sheetData>
    <row r="1" spans="1:10" x14ac:dyDescent="0.25">
      <c r="A1" s="374" t="s">
        <v>2084</v>
      </c>
      <c r="B1" s="375"/>
      <c r="C1" s="375"/>
      <c r="D1" s="375"/>
      <c r="E1" s="375"/>
      <c r="F1" s="375"/>
      <c r="G1" s="375"/>
    </row>
    <row r="2" spans="1:10" x14ac:dyDescent="0.25">
      <c r="A2" s="188" t="s">
        <v>2085</v>
      </c>
      <c r="B2" s="376" t="s">
        <v>440</v>
      </c>
      <c r="C2" s="377"/>
      <c r="D2" s="378"/>
      <c r="E2" s="376" t="s">
        <v>441</v>
      </c>
      <c r="F2" s="377"/>
      <c r="G2" s="378"/>
      <c r="I2" s="189" t="s">
        <v>440</v>
      </c>
      <c r="J2" s="189" t="s">
        <v>440</v>
      </c>
    </row>
    <row r="3" spans="1:10" ht="30" x14ac:dyDescent="0.25">
      <c r="A3" s="190" t="s">
        <v>2086</v>
      </c>
      <c r="B3" s="188" t="s">
        <v>2087</v>
      </c>
      <c r="C3" s="188" t="s">
        <v>2088</v>
      </c>
      <c r="D3" s="188" t="s">
        <v>2089</v>
      </c>
      <c r="E3" s="188" t="s">
        <v>2087</v>
      </c>
      <c r="F3" s="188" t="s">
        <v>2088</v>
      </c>
      <c r="G3" s="188" t="s">
        <v>2089</v>
      </c>
      <c r="H3" s="81" t="s">
        <v>2090</v>
      </c>
      <c r="I3" s="81" t="s">
        <v>2091</v>
      </c>
      <c r="J3" s="81" t="s">
        <v>2092</v>
      </c>
    </row>
    <row r="4" spans="1:10" ht="30" x14ac:dyDescent="0.25">
      <c r="A4" s="191"/>
      <c r="B4" s="192" t="s">
        <v>2093</v>
      </c>
      <c r="C4" s="192" t="s">
        <v>2094</v>
      </c>
      <c r="D4" s="191" t="s">
        <v>2095</v>
      </c>
      <c r="E4" s="192" t="s">
        <v>2093</v>
      </c>
      <c r="F4" s="192" t="s">
        <v>2094</v>
      </c>
      <c r="G4" s="191" t="s">
        <v>2095</v>
      </c>
      <c r="H4" s="81" t="s">
        <v>2096</v>
      </c>
      <c r="I4" s="81" t="s">
        <v>2097</v>
      </c>
      <c r="J4" s="81" t="s">
        <v>2098</v>
      </c>
    </row>
    <row r="5" spans="1:10" x14ac:dyDescent="0.25">
      <c r="A5" s="193">
        <v>0</v>
      </c>
      <c r="B5" s="194">
        <v>6.5690000000000002E-3</v>
      </c>
      <c r="C5" s="195">
        <v>100000</v>
      </c>
      <c r="D5" s="206">
        <v>76.180000000000007</v>
      </c>
      <c r="E5" s="204">
        <v>5.5129999999999997E-3</v>
      </c>
      <c r="F5" s="195">
        <v>100000</v>
      </c>
      <c r="G5" s="206">
        <v>80.95</v>
      </c>
    </row>
    <row r="6" spans="1:10" x14ac:dyDescent="0.25">
      <c r="A6" s="193">
        <v>1</v>
      </c>
      <c r="B6" s="194">
        <v>4.44E-4</v>
      </c>
      <c r="C6" s="195">
        <v>99343</v>
      </c>
      <c r="D6" s="206">
        <v>75.69</v>
      </c>
      <c r="E6" s="204">
        <v>3.8200000000000002E-4</v>
      </c>
      <c r="F6" s="195">
        <v>99449</v>
      </c>
      <c r="G6" s="206">
        <v>80.39</v>
      </c>
      <c r="H6" s="41">
        <v>0</v>
      </c>
      <c r="I6" s="30">
        <f t="shared" ref="I6:I37" si="0">C5-C5*H5</f>
        <v>100000</v>
      </c>
      <c r="J6" s="30">
        <f t="shared" ref="J6:J37" si="1">C5-(100000-I6)</f>
        <v>100000</v>
      </c>
    </row>
    <row r="7" spans="1:10" x14ac:dyDescent="0.25">
      <c r="A7" s="193">
        <v>2</v>
      </c>
      <c r="B7" s="194">
        <v>2.9100000000000003E-4</v>
      </c>
      <c r="C7" s="195">
        <v>99299</v>
      </c>
      <c r="D7" s="206">
        <v>74.72</v>
      </c>
      <c r="E7" s="204">
        <v>2.1800000000000001E-4</v>
      </c>
      <c r="F7" s="195">
        <v>99411</v>
      </c>
      <c r="G7" s="206">
        <v>79.42</v>
      </c>
      <c r="H7" s="41">
        <v>0</v>
      </c>
      <c r="I7" s="30">
        <f t="shared" si="0"/>
        <v>99343</v>
      </c>
      <c r="J7" s="30">
        <f t="shared" si="1"/>
        <v>98686</v>
      </c>
    </row>
    <row r="8" spans="1:10" x14ac:dyDescent="0.25">
      <c r="A8" s="193">
        <v>3</v>
      </c>
      <c r="B8" s="194">
        <v>2.2599999999999999E-4</v>
      </c>
      <c r="C8" s="195">
        <v>99270</v>
      </c>
      <c r="D8" s="206">
        <v>73.739999999999995</v>
      </c>
      <c r="E8" s="204">
        <v>1.66E-4</v>
      </c>
      <c r="F8" s="195">
        <v>99389</v>
      </c>
      <c r="G8" s="206">
        <v>78.44</v>
      </c>
      <c r="H8" s="41">
        <v>0</v>
      </c>
      <c r="I8" s="30">
        <f t="shared" si="0"/>
        <v>99299</v>
      </c>
      <c r="J8" s="30">
        <f t="shared" si="1"/>
        <v>98598</v>
      </c>
    </row>
    <row r="9" spans="1:10" x14ac:dyDescent="0.25">
      <c r="A9" s="193">
        <v>4</v>
      </c>
      <c r="B9" s="194">
        <v>1.73E-4</v>
      </c>
      <c r="C9" s="195">
        <v>99248</v>
      </c>
      <c r="D9" s="206">
        <v>72.760000000000005</v>
      </c>
      <c r="E9" s="204">
        <v>1.4300000000000001E-4</v>
      </c>
      <c r="F9" s="195">
        <v>99373</v>
      </c>
      <c r="G9" s="206">
        <v>77.45</v>
      </c>
      <c r="H9" s="41">
        <v>0</v>
      </c>
      <c r="I9" s="30">
        <f t="shared" si="0"/>
        <v>99270</v>
      </c>
      <c r="J9" s="30">
        <f t="shared" si="1"/>
        <v>98540</v>
      </c>
    </row>
    <row r="10" spans="1:10" x14ac:dyDescent="0.25">
      <c r="A10" s="196">
        <v>5</v>
      </c>
      <c r="B10" s="197">
        <v>1.5799999999999999E-4</v>
      </c>
      <c r="C10" s="198">
        <v>99230</v>
      </c>
      <c r="D10" s="207">
        <v>71.77</v>
      </c>
      <c r="E10" s="205">
        <v>1.27E-4</v>
      </c>
      <c r="F10" s="198">
        <v>99358</v>
      </c>
      <c r="G10" s="207">
        <v>76.47</v>
      </c>
      <c r="H10" s="41">
        <v>0</v>
      </c>
      <c r="I10" s="30">
        <f t="shared" si="0"/>
        <v>99248</v>
      </c>
      <c r="J10" s="30">
        <f t="shared" si="1"/>
        <v>98496</v>
      </c>
    </row>
    <row r="11" spans="1:10" x14ac:dyDescent="0.25">
      <c r="A11" s="196">
        <v>6</v>
      </c>
      <c r="B11" s="197">
        <v>1.47E-4</v>
      </c>
      <c r="C11" s="198">
        <v>99215</v>
      </c>
      <c r="D11" s="207">
        <v>70.78</v>
      </c>
      <c r="E11" s="205">
        <v>1.16E-4</v>
      </c>
      <c r="F11" s="198">
        <v>99346</v>
      </c>
      <c r="G11" s="207">
        <v>75.48</v>
      </c>
      <c r="H11" s="41">
        <v>0</v>
      </c>
      <c r="I11" s="30">
        <f t="shared" si="0"/>
        <v>99230</v>
      </c>
      <c r="J11" s="30">
        <f t="shared" si="1"/>
        <v>98460</v>
      </c>
    </row>
    <row r="12" spans="1:10" x14ac:dyDescent="0.25">
      <c r="A12" s="196">
        <v>7</v>
      </c>
      <c r="B12" s="197">
        <v>1.36E-4</v>
      </c>
      <c r="C12" s="198">
        <v>99200</v>
      </c>
      <c r="D12" s="207">
        <v>69.790000000000006</v>
      </c>
      <c r="E12" s="205">
        <v>1.06E-4</v>
      </c>
      <c r="F12" s="198">
        <v>99334</v>
      </c>
      <c r="G12" s="207">
        <v>74.48</v>
      </c>
      <c r="H12" s="41">
        <v>0</v>
      </c>
      <c r="I12" s="30">
        <f t="shared" si="0"/>
        <v>99215</v>
      </c>
      <c r="J12" s="30">
        <f t="shared" si="1"/>
        <v>98430</v>
      </c>
    </row>
    <row r="13" spans="1:10" x14ac:dyDescent="0.25">
      <c r="A13" s="196">
        <v>8</v>
      </c>
      <c r="B13" s="197">
        <v>1.21E-4</v>
      </c>
      <c r="C13" s="198">
        <v>99187</v>
      </c>
      <c r="D13" s="207">
        <v>68.8</v>
      </c>
      <c r="E13" s="205">
        <v>9.7999999999999997E-5</v>
      </c>
      <c r="F13" s="198">
        <v>99324</v>
      </c>
      <c r="G13" s="207">
        <v>73.489999999999995</v>
      </c>
      <c r="H13" s="41">
        <v>0</v>
      </c>
      <c r="I13" s="30">
        <f t="shared" si="0"/>
        <v>99200</v>
      </c>
      <c r="J13" s="30">
        <f t="shared" si="1"/>
        <v>98400</v>
      </c>
    </row>
    <row r="14" spans="1:10" x14ac:dyDescent="0.25">
      <c r="A14" s="196">
        <v>9</v>
      </c>
      <c r="B14" s="197">
        <v>1.0399999999999999E-4</v>
      </c>
      <c r="C14" s="198">
        <v>99175</v>
      </c>
      <c r="D14" s="207">
        <v>67.81</v>
      </c>
      <c r="E14" s="205">
        <v>9.1000000000000003E-5</v>
      </c>
      <c r="F14" s="198">
        <v>99314</v>
      </c>
      <c r="G14" s="207">
        <v>72.5</v>
      </c>
      <c r="H14" s="41">
        <f>0.3/100</f>
        <v>3.0000000000000001E-3</v>
      </c>
      <c r="I14" s="30">
        <f t="shared" si="0"/>
        <v>99187</v>
      </c>
      <c r="J14" s="30">
        <f t="shared" si="1"/>
        <v>98374</v>
      </c>
    </row>
    <row r="15" spans="1:10" x14ac:dyDescent="0.25">
      <c r="A15" s="193">
        <v>10</v>
      </c>
      <c r="B15" s="194">
        <v>9.2E-5</v>
      </c>
      <c r="C15" s="195">
        <v>99164</v>
      </c>
      <c r="D15" s="206">
        <v>66.819999999999993</v>
      </c>
      <c r="E15" s="204">
        <v>8.6000000000000003E-5</v>
      </c>
      <c r="F15" s="195">
        <v>99305</v>
      </c>
      <c r="G15" s="206">
        <v>71.510000000000005</v>
      </c>
      <c r="H15" s="41">
        <v>3.0000000000000001E-3</v>
      </c>
      <c r="I15" s="30">
        <f t="shared" si="0"/>
        <v>98877.475000000006</v>
      </c>
      <c r="J15" s="30">
        <f t="shared" si="1"/>
        <v>98052.475000000006</v>
      </c>
    </row>
    <row r="16" spans="1:10" x14ac:dyDescent="0.25">
      <c r="A16" s="193">
        <v>11</v>
      </c>
      <c r="B16" s="194">
        <v>9.7E-5</v>
      </c>
      <c r="C16" s="195">
        <v>99155</v>
      </c>
      <c r="D16" s="206">
        <v>65.819999999999993</v>
      </c>
      <c r="E16" s="204">
        <v>8.8999999999999995E-5</v>
      </c>
      <c r="F16" s="195">
        <v>99296</v>
      </c>
      <c r="G16" s="206">
        <v>70.510000000000005</v>
      </c>
      <c r="H16" s="41">
        <v>3.0000000000000001E-3</v>
      </c>
      <c r="I16" s="30">
        <f t="shared" si="0"/>
        <v>98866.508000000002</v>
      </c>
      <c r="J16" s="30">
        <f t="shared" si="1"/>
        <v>98030.508000000002</v>
      </c>
    </row>
    <row r="17" spans="1:10" x14ac:dyDescent="0.25">
      <c r="A17" s="193">
        <v>12</v>
      </c>
      <c r="B17" s="194">
        <v>1.34E-4</v>
      </c>
      <c r="C17" s="195">
        <v>99146</v>
      </c>
      <c r="D17" s="206">
        <v>64.83</v>
      </c>
      <c r="E17" s="204">
        <v>1.02E-4</v>
      </c>
      <c r="F17" s="195">
        <v>99288</v>
      </c>
      <c r="G17" s="206">
        <v>69.52</v>
      </c>
      <c r="H17" s="41">
        <v>3.0000000000000001E-3</v>
      </c>
      <c r="I17" s="30">
        <f t="shared" si="0"/>
        <v>98857.535000000003</v>
      </c>
      <c r="J17" s="30">
        <f t="shared" si="1"/>
        <v>98012.535000000003</v>
      </c>
    </row>
    <row r="18" spans="1:10" x14ac:dyDescent="0.25">
      <c r="A18" s="193">
        <v>13</v>
      </c>
      <c r="B18" s="194">
        <v>2.1000000000000001E-4</v>
      </c>
      <c r="C18" s="195">
        <v>99132</v>
      </c>
      <c r="D18" s="206">
        <v>63.84</v>
      </c>
      <c r="E18" s="204">
        <v>1.2799999999999999E-4</v>
      </c>
      <c r="F18" s="195">
        <v>99277</v>
      </c>
      <c r="G18" s="206">
        <v>68.52</v>
      </c>
      <c r="H18" s="41">
        <v>3.0000000000000001E-3</v>
      </c>
      <c r="I18" s="30">
        <f t="shared" si="0"/>
        <v>98848.562000000005</v>
      </c>
      <c r="J18" s="30">
        <f t="shared" si="1"/>
        <v>97994.562000000005</v>
      </c>
    </row>
    <row r="19" spans="1:10" x14ac:dyDescent="0.25">
      <c r="A19" s="193">
        <v>14</v>
      </c>
      <c r="B19" s="194">
        <v>3.1700000000000001E-4</v>
      </c>
      <c r="C19" s="195">
        <v>99112</v>
      </c>
      <c r="D19" s="206">
        <v>62.85</v>
      </c>
      <c r="E19" s="204">
        <v>1.64E-4</v>
      </c>
      <c r="F19" s="195">
        <v>99265</v>
      </c>
      <c r="G19" s="206">
        <v>67.53</v>
      </c>
      <c r="H19" s="41">
        <v>3.0000000000000001E-3</v>
      </c>
      <c r="I19" s="30">
        <f t="shared" si="0"/>
        <v>98834.604000000007</v>
      </c>
      <c r="J19" s="30">
        <f t="shared" si="1"/>
        <v>97966.604000000007</v>
      </c>
    </row>
    <row r="20" spans="1:10" x14ac:dyDescent="0.25">
      <c r="A20" s="196">
        <v>15</v>
      </c>
      <c r="B20" s="197">
        <v>4.3300000000000001E-4</v>
      </c>
      <c r="C20" s="198">
        <v>99080</v>
      </c>
      <c r="D20" s="207">
        <v>61.87</v>
      </c>
      <c r="E20" s="205">
        <v>2.05E-4</v>
      </c>
      <c r="F20" s="198">
        <v>99248</v>
      </c>
      <c r="G20" s="207">
        <v>66.540000000000006</v>
      </c>
      <c r="H20" s="41">
        <v>3.0000000000000001E-3</v>
      </c>
      <c r="I20" s="30">
        <f t="shared" si="0"/>
        <v>98814.664000000004</v>
      </c>
      <c r="J20" s="30">
        <f t="shared" si="1"/>
        <v>97926.664000000004</v>
      </c>
    </row>
    <row r="21" spans="1:10" x14ac:dyDescent="0.25">
      <c r="A21" s="196">
        <v>16</v>
      </c>
      <c r="B21" s="197">
        <v>5.4699999999999996E-4</v>
      </c>
      <c r="C21" s="198">
        <v>99037</v>
      </c>
      <c r="D21" s="207">
        <v>60.9</v>
      </c>
      <c r="E21" s="205">
        <v>2.4600000000000002E-4</v>
      </c>
      <c r="F21" s="198">
        <v>99228</v>
      </c>
      <c r="G21" s="207">
        <v>65.56</v>
      </c>
      <c r="H21" s="41">
        <v>3.0000000000000001E-3</v>
      </c>
      <c r="I21" s="30">
        <f t="shared" si="0"/>
        <v>98782.76</v>
      </c>
      <c r="J21" s="30">
        <f t="shared" si="1"/>
        <v>97862.76</v>
      </c>
    </row>
    <row r="22" spans="1:10" x14ac:dyDescent="0.25">
      <c r="A22" s="196">
        <v>17</v>
      </c>
      <c r="B22" s="197">
        <v>6.7199999999999996E-4</v>
      </c>
      <c r="C22" s="198">
        <v>98983</v>
      </c>
      <c r="D22" s="207">
        <v>59.93</v>
      </c>
      <c r="E22" s="205">
        <v>2.8499999999999999E-4</v>
      </c>
      <c r="F22" s="198">
        <v>99204</v>
      </c>
      <c r="G22" s="207">
        <v>64.569999999999993</v>
      </c>
      <c r="H22" s="41">
        <v>3.0000000000000001E-3</v>
      </c>
      <c r="I22" s="30">
        <f t="shared" si="0"/>
        <v>98739.888999999996</v>
      </c>
      <c r="J22" s="30">
        <f t="shared" si="1"/>
        <v>97776.888999999996</v>
      </c>
    </row>
    <row r="23" spans="1:10" x14ac:dyDescent="0.25">
      <c r="A23" s="196">
        <v>18</v>
      </c>
      <c r="B23" s="197">
        <v>8.0500000000000005E-4</v>
      </c>
      <c r="C23" s="198">
        <v>98917</v>
      </c>
      <c r="D23" s="207">
        <v>58.97</v>
      </c>
      <c r="E23" s="205">
        <v>3.19E-4</v>
      </c>
      <c r="F23" s="198">
        <v>99175</v>
      </c>
      <c r="G23" s="207">
        <v>63.59</v>
      </c>
      <c r="H23" s="41">
        <v>3.0000000000000001E-3</v>
      </c>
      <c r="I23" s="30">
        <f t="shared" si="0"/>
        <v>98686.051000000007</v>
      </c>
      <c r="J23" s="30">
        <f t="shared" si="1"/>
        <v>97669.051000000007</v>
      </c>
    </row>
    <row r="24" spans="1:10" x14ac:dyDescent="0.25">
      <c r="A24" s="196">
        <v>19</v>
      </c>
      <c r="B24" s="197">
        <v>9.41E-4</v>
      </c>
      <c r="C24" s="198">
        <v>98837</v>
      </c>
      <c r="D24" s="207">
        <v>58.02</v>
      </c>
      <c r="E24" s="205">
        <v>3.5E-4</v>
      </c>
      <c r="F24" s="198">
        <v>99144</v>
      </c>
      <c r="G24" s="207">
        <v>62.61</v>
      </c>
      <c r="H24" s="41">
        <v>3.0000000000000001E-3</v>
      </c>
      <c r="I24" s="30">
        <f t="shared" si="0"/>
        <v>98620.248999999996</v>
      </c>
      <c r="J24" s="30">
        <f t="shared" si="1"/>
        <v>97537.248999999996</v>
      </c>
    </row>
    <row r="25" spans="1:10" x14ac:dyDescent="0.25">
      <c r="A25" s="193">
        <v>20</v>
      </c>
      <c r="B25" s="194">
        <v>1.0839999999999999E-3</v>
      </c>
      <c r="C25" s="195">
        <v>98744</v>
      </c>
      <c r="D25" s="206">
        <v>57.07</v>
      </c>
      <c r="E25" s="204">
        <v>3.8299999999999999E-4</v>
      </c>
      <c r="F25" s="195">
        <v>99109</v>
      </c>
      <c r="G25" s="206">
        <v>61.63</v>
      </c>
      <c r="H25" s="41">
        <v>1E-3</v>
      </c>
      <c r="I25" s="30">
        <f t="shared" si="0"/>
        <v>98540.489000000001</v>
      </c>
      <c r="J25" s="30">
        <f t="shared" si="1"/>
        <v>97377.489000000001</v>
      </c>
    </row>
    <row r="26" spans="1:10" x14ac:dyDescent="0.25">
      <c r="A26" s="193">
        <v>21</v>
      </c>
      <c r="B26" s="194">
        <v>1.219E-3</v>
      </c>
      <c r="C26" s="195">
        <v>98637</v>
      </c>
      <c r="D26" s="206">
        <v>56.13</v>
      </c>
      <c r="E26" s="204">
        <v>4.17E-4</v>
      </c>
      <c r="F26" s="195">
        <v>99071</v>
      </c>
      <c r="G26" s="206">
        <v>60.66</v>
      </c>
      <c r="H26" s="41">
        <v>1E-3</v>
      </c>
      <c r="I26" s="30">
        <f t="shared" si="0"/>
        <v>98645.255999999994</v>
      </c>
      <c r="J26" s="30">
        <f t="shared" si="1"/>
        <v>97389.255999999994</v>
      </c>
    </row>
    <row r="27" spans="1:10" x14ac:dyDescent="0.25">
      <c r="A27" s="193">
        <v>22</v>
      </c>
      <c r="B27" s="194">
        <v>1.3140000000000001E-3</v>
      </c>
      <c r="C27" s="195">
        <v>98517</v>
      </c>
      <c r="D27" s="206">
        <v>55.2</v>
      </c>
      <c r="E27" s="204">
        <v>4.46E-4</v>
      </c>
      <c r="F27" s="195">
        <v>99030</v>
      </c>
      <c r="G27" s="206">
        <v>59.68</v>
      </c>
      <c r="H27" s="41">
        <v>1E-3</v>
      </c>
      <c r="I27" s="30">
        <f t="shared" si="0"/>
        <v>98538.362999999998</v>
      </c>
      <c r="J27" s="30">
        <f t="shared" si="1"/>
        <v>97175.362999999998</v>
      </c>
    </row>
    <row r="28" spans="1:10" x14ac:dyDescent="0.25">
      <c r="A28" s="193">
        <v>23</v>
      </c>
      <c r="B28" s="194">
        <v>1.3569999999999999E-3</v>
      </c>
      <c r="C28" s="195">
        <v>98387</v>
      </c>
      <c r="D28" s="206">
        <v>54.27</v>
      </c>
      <c r="E28" s="204">
        <v>4.6900000000000002E-4</v>
      </c>
      <c r="F28" s="195">
        <v>98986</v>
      </c>
      <c r="G28" s="206">
        <v>58.71</v>
      </c>
      <c r="H28" s="41">
        <v>1E-3</v>
      </c>
      <c r="I28" s="30">
        <f t="shared" si="0"/>
        <v>98418.482999999993</v>
      </c>
      <c r="J28" s="30">
        <f t="shared" si="1"/>
        <v>96935.482999999993</v>
      </c>
    </row>
    <row r="29" spans="1:10" x14ac:dyDescent="0.25">
      <c r="A29" s="193">
        <v>24</v>
      </c>
      <c r="B29" s="194">
        <v>1.3619999999999999E-3</v>
      </c>
      <c r="C29" s="195">
        <v>98254</v>
      </c>
      <c r="D29" s="206">
        <v>53.35</v>
      </c>
      <c r="E29" s="204">
        <v>4.8700000000000002E-4</v>
      </c>
      <c r="F29" s="195">
        <v>98939</v>
      </c>
      <c r="G29" s="206">
        <v>57.74</v>
      </c>
      <c r="H29" s="41">
        <v>1E-3</v>
      </c>
      <c r="I29" s="30">
        <f t="shared" si="0"/>
        <v>98288.612999999998</v>
      </c>
      <c r="J29" s="30">
        <f t="shared" si="1"/>
        <v>96675.612999999998</v>
      </c>
    </row>
    <row r="30" spans="1:10" x14ac:dyDescent="0.25">
      <c r="A30" s="196">
        <v>25</v>
      </c>
      <c r="B30" s="197">
        <v>1.353E-3</v>
      </c>
      <c r="C30" s="198">
        <v>98120</v>
      </c>
      <c r="D30" s="207">
        <v>52.42</v>
      </c>
      <c r="E30" s="205">
        <v>5.0500000000000002E-4</v>
      </c>
      <c r="F30" s="198">
        <v>98891</v>
      </c>
      <c r="G30" s="207">
        <v>56.76</v>
      </c>
      <c r="H30" s="41">
        <v>1E-3</v>
      </c>
      <c r="I30" s="30">
        <f t="shared" si="0"/>
        <v>98155.745999999999</v>
      </c>
      <c r="J30" s="30">
        <f t="shared" si="1"/>
        <v>96409.745999999999</v>
      </c>
    </row>
    <row r="31" spans="1:10" x14ac:dyDescent="0.25">
      <c r="A31" s="196">
        <v>26</v>
      </c>
      <c r="B31" s="197">
        <v>1.3500000000000001E-3</v>
      </c>
      <c r="C31" s="198">
        <v>97987</v>
      </c>
      <c r="D31" s="207">
        <v>51.49</v>
      </c>
      <c r="E31" s="205">
        <v>5.2499999999999997E-4</v>
      </c>
      <c r="F31" s="198">
        <v>98841</v>
      </c>
      <c r="G31" s="207">
        <v>55.79</v>
      </c>
      <c r="H31" s="41">
        <v>1E-3</v>
      </c>
      <c r="I31" s="30">
        <f t="shared" si="0"/>
        <v>98021.88</v>
      </c>
      <c r="J31" s="30">
        <f t="shared" si="1"/>
        <v>96141.88</v>
      </c>
    </row>
    <row r="32" spans="1:10" x14ac:dyDescent="0.25">
      <c r="A32" s="196">
        <v>27</v>
      </c>
      <c r="B32" s="197">
        <v>1.353E-3</v>
      </c>
      <c r="C32" s="198">
        <v>97855</v>
      </c>
      <c r="D32" s="207">
        <v>50.56</v>
      </c>
      <c r="E32" s="205">
        <v>5.5099999999999995E-4</v>
      </c>
      <c r="F32" s="198">
        <v>98789</v>
      </c>
      <c r="G32" s="207">
        <v>54.82</v>
      </c>
      <c r="H32" s="41">
        <v>1E-3</v>
      </c>
      <c r="I32" s="30">
        <f t="shared" si="0"/>
        <v>97889.013000000006</v>
      </c>
      <c r="J32" s="30">
        <f t="shared" si="1"/>
        <v>95876.013000000006</v>
      </c>
    </row>
    <row r="33" spans="1:10" x14ac:dyDescent="0.25">
      <c r="A33" s="196">
        <v>28</v>
      </c>
      <c r="B33" s="197">
        <v>1.371E-3</v>
      </c>
      <c r="C33" s="198">
        <v>97722</v>
      </c>
      <c r="D33" s="207">
        <v>49.63</v>
      </c>
      <c r="E33" s="205">
        <v>5.8500000000000002E-4</v>
      </c>
      <c r="F33" s="198">
        <v>98735</v>
      </c>
      <c r="G33" s="207">
        <v>53.85</v>
      </c>
      <c r="H33" s="41">
        <v>1E-3</v>
      </c>
      <c r="I33" s="30">
        <f t="shared" si="0"/>
        <v>97757.145000000004</v>
      </c>
      <c r="J33" s="30">
        <f t="shared" si="1"/>
        <v>95612.145000000004</v>
      </c>
    </row>
    <row r="34" spans="1:10" x14ac:dyDescent="0.25">
      <c r="A34" s="196">
        <v>29</v>
      </c>
      <c r="B34" s="197">
        <v>1.3990000000000001E-3</v>
      </c>
      <c r="C34" s="198">
        <v>97588</v>
      </c>
      <c r="D34" s="207">
        <v>48.69</v>
      </c>
      <c r="E34" s="205">
        <v>6.2600000000000004E-4</v>
      </c>
      <c r="F34" s="198">
        <v>98677</v>
      </c>
      <c r="G34" s="207">
        <v>52.88</v>
      </c>
      <c r="H34" s="41">
        <v>1E-3</v>
      </c>
      <c r="I34" s="30">
        <f t="shared" si="0"/>
        <v>97624.278000000006</v>
      </c>
      <c r="J34" s="30">
        <f t="shared" si="1"/>
        <v>95346.278000000006</v>
      </c>
    </row>
    <row r="35" spans="1:10" x14ac:dyDescent="0.25">
      <c r="A35" s="193">
        <v>30</v>
      </c>
      <c r="B35" s="194">
        <v>1.4319999999999999E-3</v>
      </c>
      <c r="C35" s="195">
        <v>97452</v>
      </c>
      <c r="D35" s="206">
        <v>47.76</v>
      </c>
      <c r="E35" s="204">
        <v>6.7199999999999996E-4</v>
      </c>
      <c r="F35" s="195">
        <v>98615</v>
      </c>
      <c r="G35" s="206">
        <v>51.92</v>
      </c>
      <c r="H35" s="41">
        <v>2E-3</v>
      </c>
      <c r="I35" s="30">
        <f t="shared" si="0"/>
        <v>97490.411999999997</v>
      </c>
      <c r="J35" s="30">
        <f t="shared" si="1"/>
        <v>95078.411999999997</v>
      </c>
    </row>
    <row r="36" spans="1:10" x14ac:dyDescent="0.25">
      <c r="A36" s="193">
        <v>31</v>
      </c>
      <c r="B36" s="194">
        <v>1.464E-3</v>
      </c>
      <c r="C36" s="195">
        <v>97312</v>
      </c>
      <c r="D36" s="206">
        <v>46.83</v>
      </c>
      <c r="E36" s="204">
        <v>7.2000000000000005E-4</v>
      </c>
      <c r="F36" s="195">
        <v>98549</v>
      </c>
      <c r="G36" s="206">
        <v>50.95</v>
      </c>
      <c r="H36" s="41">
        <v>2E-3</v>
      </c>
      <c r="I36" s="30">
        <f t="shared" si="0"/>
        <v>97257.096000000005</v>
      </c>
      <c r="J36" s="30">
        <f t="shared" si="1"/>
        <v>94709.096000000005</v>
      </c>
    </row>
    <row r="37" spans="1:10" x14ac:dyDescent="0.25">
      <c r="A37" s="193">
        <v>32</v>
      </c>
      <c r="B37" s="194">
        <v>1.4970000000000001E-3</v>
      </c>
      <c r="C37" s="195">
        <v>97170</v>
      </c>
      <c r="D37" s="206">
        <v>45.9</v>
      </c>
      <c r="E37" s="204">
        <v>7.6599999999999997E-4</v>
      </c>
      <c r="F37" s="195">
        <v>98478</v>
      </c>
      <c r="G37" s="206">
        <v>49.99</v>
      </c>
      <c r="H37" s="41">
        <v>2E-3</v>
      </c>
      <c r="I37" s="30">
        <f t="shared" si="0"/>
        <v>97117.376000000004</v>
      </c>
      <c r="J37" s="30">
        <f t="shared" si="1"/>
        <v>94429.376000000004</v>
      </c>
    </row>
    <row r="38" spans="1:10" x14ac:dyDescent="0.25">
      <c r="A38" s="193">
        <v>33</v>
      </c>
      <c r="B38" s="194">
        <v>1.5299999999999999E-3</v>
      </c>
      <c r="C38" s="195">
        <v>97024</v>
      </c>
      <c r="D38" s="206">
        <v>44.96</v>
      </c>
      <c r="E38" s="204">
        <v>8.0599999999999997E-4</v>
      </c>
      <c r="F38" s="195">
        <v>98403</v>
      </c>
      <c r="G38" s="206">
        <v>49.02</v>
      </c>
      <c r="H38" s="41">
        <v>2E-3</v>
      </c>
      <c r="I38" s="30">
        <f t="shared" ref="I38:I69" si="2">C37-C37*H37</f>
        <v>96975.66</v>
      </c>
      <c r="J38" s="30">
        <f t="shared" ref="J38:J69" si="3">C37-(100000-I38)</f>
        <v>94145.66</v>
      </c>
    </row>
    <row r="39" spans="1:10" x14ac:dyDescent="0.25">
      <c r="A39" s="193">
        <v>34</v>
      </c>
      <c r="B39" s="194">
        <v>1.5679999999999999E-3</v>
      </c>
      <c r="C39" s="195">
        <v>96876</v>
      </c>
      <c r="D39" s="206">
        <v>44.03</v>
      </c>
      <c r="E39" s="204">
        <v>8.4599999999999996E-4</v>
      </c>
      <c r="F39" s="195">
        <v>98323</v>
      </c>
      <c r="G39" s="206">
        <v>48.06</v>
      </c>
      <c r="H39" s="41">
        <v>2E-3</v>
      </c>
      <c r="I39" s="30">
        <f t="shared" si="2"/>
        <v>96829.952000000005</v>
      </c>
      <c r="J39" s="30">
        <f t="shared" si="3"/>
        <v>93853.952000000005</v>
      </c>
    </row>
    <row r="40" spans="1:10" x14ac:dyDescent="0.25">
      <c r="A40" s="196">
        <v>35</v>
      </c>
      <c r="B40" s="197">
        <v>1.6169999999999999E-3</v>
      </c>
      <c r="C40" s="198">
        <v>96724</v>
      </c>
      <c r="D40" s="207">
        <v>43.1</v>
      </c>
      <c r="E40" s="205">
        <v>8.9099999999999997E-4</v>
      </c>
      <c r="F40" s="198">
        <v>98240</v>
      </c>
      <c r="G40" s="207">
        <v>47.1</v>
      </c>
      <c r="H40" s="41">
        <v>2E-3</v>
      </c>
      <c r="I40" s="30">
        <f t="shared" si="2"/>
        <v>96682.248000000007</v>
      </c>
      <c r="J40" s="30">
        <f t="shared" si="3"/>
        <v>93558.248000000007</v>
      </c>
    </row>
    <row r="41" spans="1:10" x14ac:dyDescent="0.25">
      <c r="A41" s="196">
        <v>36</v>
      </c>
      <c r="B41" s="197">
        <v>1.6819999999999999E-3</v>
      </c>
      <c r="C41" s="198">
        <v>96568</v>
      </c>
      <c r="D41" s="207">
        <v>42.17</v>
      </c>
      <c r="E41" s="205">
        <v>9.4600000000000001E-4</v>
      </c>
      <c r="F41" s="198">
        <v>98153</v>
      </c>
      <c r="G41" s="207">
        <v>46.15</v>
      </c>
      <c r="H41" s="41">
        <v>2E-3</v>
      </c>
      <c r="I41" s="30">
        <f t="shared" si="2"/>
        <v>96530.551999999996</v>
      </c>
      <c r="J41" s="30">
        <f t="shared" si="3"/>
        <v>93254.551999999996</v>
      </c>
    </row>
    <row r="42" spans="1:10" x14ac:dyDescent="0.25">
      <c r="A42" s="196">
        <v>37</v>
      </c>
      <c r="B42" s="197">
        <v>1.7589999999999999E-3</v>
      </c>
      <c r="C42" s="198">
        <v>96405</v>
      </c>
      <c r="D42" s="207">
        <v>41.24</v>
      </c>
      <c r="E42" s="205">
        <v>1.013E-3</v>
      </c>
      <c r="F42" s="198">
        <v>98060</v>
      </c>
      <c r="G42" s="207">
        <v>45.19</v>
      </c>
      <c r="H42" s="41">
        <v>2E-3</v>
      </c>
      <c r="I42" s="30">
        <f t="shared" si="2"/>
        <v>96374.864000000001</v>
      </c>
      <c r="J42" s="30">
        <f t="shared" si="3"/>
        <v>92942.864000000001</v>
      </c>
    </row>
    <row r="43" spans="1:10" x14ac:dyDescent="0.25">
      <c r="A43" s="196">
        <v>38</v>
      </c>
      <c r="B43" s="197">
        <v>1.8519999999999999E-3</v>
      </c>
      <c r="C43" s="198">
        <v>96236</v>
      </c>
      <c r="D43" s="207">
        <v>40.31</v>
      </c>
      <c r="E43" s="205">
        <v>1.0939999999999999E-3</v>
      </c>
      <c r="F43" s="198">
        <v>97960</v>
      </c>
      <c r="G43" s="207">
        <v>44.23</v>
      </c>
      <c r="H43" s="41">
        <v>2E-3</v>
      </c>
      <c r="I43" s="30">
        <f t="shared" si="2"/>
        <v>96212.19</v>
      </c>
      <c r="J43" s="30">
        <f t="shared" si="3"/>
        <v>92617.19</v>
      </c>
    </row>
    <row r="44" spans="1:10" x14ac:dyDescent="0.25">
      <c r="A44" s="196">
        <v>39</v>
      </c>
      <c r="B44" s="197">
        <v>1.9629999999999999E-3</v>
      </c>
      <c r="C44" s="198">
        <v>96057</v>
      </c>
      <c r="D44" s="207">
        <v>39.39</v>
      </c>
      <c r="E44" s="205">
        <v>1.1900000000000001E-3</v>
      </c>
      <c r="F44" s="198">
        <v>97853</v>
      </c>
      <c r="G44" s="207">
        <v>43.28</v>
      </c>
      <c r="H44" s="41">
        <v>2E-3</v>
      </c>
      <c r="I44" s="30">
        <f t="shared" si="2"/>
        <v>96043.528000000006</v>
      </c>
      <c r="J44" s="30">
        <f t="shared" si="3"/>
        <v>92279.528000000006</v>
      </c>
    </row>
    <row r="45" spans="1:10" x14ac:dyDescent="0.25">
      <c r="A45" s="193">
        <v>40</v>
      </c>
      <c r="B45" s="194">
        <v>2.0920000000000001E-3</v>
      </c>
      <c r="C45" s="195">
        <v>95869</v>
      </c>
      <c r="D45" s="206">
        <v>38.46</v>
      </c>
      <c r="E45" s="204">
        <v>1.2960000000000001E-3</v>
      </c>
      <c r="F45" s="195">
        <v>97737</v>
      </c>
      <c r="G45" s="206">
        <v>42.33</v>
      </c>
      <c r="H45" s="41">
        <v>5.0000000000000001E-3</v>
      </c>
      <c r="I45" s="30">
        <f t="shared" si="2"/>
        <v>95864.885999999999</v>
      </c>
      <c r="J45" s="30">
        <f t="shared" si="3"/>
        <v>91921.885999999999</v>
      </c>
    </row>
    <row r="46" spans="1:10" x14ac:dyDescent="0.25">
      <c r="A46" s="193">
        <v>41</v>
      </c>
      <c r="B46" s="194">
        <v>2.2460000000000002E-3</v>
      </c>
      <c r="C46" s="195">
        <v>95668</v>
      </c>
      <c r="D46" s="206">
        <v>37.54</v>
      </c>
      <c r="E46" s="204">
        <v>1.413E-3</v>
      </c>
      <c r="F46" s="195">
        <v>97610</v>
      </c>
      <c r="G46" s="206">
        <v>41.39</v>
      </c>
      <c r="H46" s="41">
        <v>5.0000000000000001E-3</v>
      </c>
      <c r="I46" s="30">
        <f t="shared" si="2"/>
        <v>95389.654999999999</v>
      </c>
      <c r="J46" s="30">
        <f t="shared" si="3"/>
        <v>91258.654999999999</v>
      </c>
    </row>
    <row r="47" spans="1:10" x14ac:dyDescent="0.25">
      <c r="A47" s="193">
        <v>42</v>
      </c>
      <c r="B47" s="194">
        <v>2.4359999999999998E-3</v>
      </c>
      <c r="C47" s="195">
        <v>95453</v>
      </c>
      <c r="D47" s="206">
        <v>36.619999999999997</v>
      </c>
      <c r="E47" s="204">
        <v>1.549E-3</v>
      </c>
      <c r="F47" s="195">
        <v>97472</v>
      </c>
      <c r="G47" s="206">
        <v>40.450000000000003</v>
      </c>
      <c r="H47" s="41">
        <v>5.0000000000000001E-3</v>
      </c>
      <c r="I47" s="30">
        <f t="shared" si="2"/>
        <v>95189.66</v>
      </c>
      <c r="J47" s="30">
        <f t="shared" si="3"/>
        <v>90857.66</v>
      </c>
    </row>
    <row r="48" spans="1:10" x14ac:dyDescent="0.25">
      <c r="A48" s="193">
        <v>43</v>
      </c>
      <c r="B48" s="194">
        <v>2.6689999999999999E-3</v>
      </c>
      <c r="C48" s="195">
        <v>95221</v>
      </c>
      <c r="D48" s="206">
        <v>35.71</v>
      </c>
      <c r="E48" s="204">
        <v>1.7060000000000001E-3</v>
      </c>
      <c r="F48" s="195">
        <v>97321</v>
      </c>
      <c r="G48" s="206">
        <v>39.51</v>
      </c>
      <c r="H48" s="41">
        <v>5.0000000000000001E-3</v>
      </c>
      <c r="I48" s="30">
        <f t="shared" si="2"/>
        <v>94975.735000000001</v>
      </c>
      <c r="J48" s="30">
        <f t="shared" si="3"/>
        <v>90428.735000000001</v>
      </c>
    </row>
    <row r="49" spans="1:10" x14ac:dyDescent="0.25">
      <c r="A49" s="193">
        <v>44</v>
      </c>
      <c r="B49" s="194">
        <v>2.9420000000000002E-3</v>
      </c>
      <c r="C49" s="195">
        <v>94967</v>
      </c>
      <c r="D49" s="206">
        <v>34.81</v>
      </c>
      <c r="E49" s="204">
        <v>1.8810000000000001E-3</v>
      </c>
      <c r="F49" s="195">
        <v>97155</v>
      </c>
      <c r="G49" s="206">
        <v>38.57</v>
      </c>
      <c r="H49" s="41">
        <v>5.0000000000000001E-3</v>
      </c>
      <c r="I49" s="30">
        <f t="shared" si="2"/>
        <v>94744.895000000004</v>
      </c>
      <c r="J49" s="30">
        <f t="shared" si="3"/>
        <v>89965.895000000004</v>
      </c>
    </row>
    <row r="50" spans="1:10" x14ac:dyDescent="0.25">
      <c r="A50" s="196">
        <v>45</v>
      </c>
      <c r="B50" s="197">
        <v>3.2439999999999999E-3</v>
      </c>
      <c r="C50" s="198">
        <v>94687</v>
      </c>
      <c r="D50" s="207">
        <v>33.909999999999997</v>
      </c>
      <c r="E50" s="205">
        <v>2.0690000000000001E-3</v>
      </c>
      <c r="F50" s="198">
        <v>96972</v>
      </c>
      <c r="G50" s="207">
        <v>37.65</v>
      </c>
      <c r="H50" s="41">
        <v>5.0000000000000001E-3</v>
      </c>
      <c r="I50" s="30">
        <f t="shared" si="2"/>
        <v>94492.164999999994</v>
      </c>
      <c r="J50" s="30">
        <f t="shared" si="3"/>
        <v>89459.164999999994</v>
      </c>
    </row>
    <row r="51" spans="1:10" x14ac:dyDescent="0.25">
      <c r="A51" s="196">
        <v>46</v>
      </c>
      <c r="B51" s="197">
        <v>3.571E-3</v>
      </c>
      <c r="C51" s="198">
        <v>94380</v>
      </c>
      <c r="D51" s="207">
        <v>33.020000000000003</v>
      </c>
      <c r="E51" s="205">
        <v>2.2699999999999999E-3</v>
      </c>
      <c r="F51" s="198">
        <v>96772</v>
      </c>
      <c r="G51" s="207">
        <v>36.72</v>
      </c>
      <c r="H51" s="41">
        <v>5.0000000000000001E-3</v>
      </c>
      <c r="I51" s="30">
        <f t="shared" si="2"/>
        <v>94213.565000000002</v>
      </c>
      <c r="J51" s="30">
        <f t="shared" si="3"/>
        <v>88900.565000000002</v>
      </c>
    </row>
    <row r="52" spans="1:10" x14ac:dyDescent="0.25">
      <c r="A52" s="196">
        <v>47</v>
      </c>
      <c r="B52" s="197">
        <v>3.9259999999999998E-3</v>
      </c>
      <c r="C52" s="198">
        <v>94043</v>
      </c>
      <c r="D52" s="207">
        <v>32.130000000000003</v>
      </c>
      <c r="E52" s="205">
        <v>2.4859999999999999E-3</v>
      </c>
      <c r="F52" s="198">
        <v>96552</v>
      </c>
      <c r="G52" s="207">
        <v>35.81</v>
      </c>
      <c r="H52" s="41">
        <v>5.0000000000000001E-3</v>
      </c>
      <c r="I52" s="30">
        <f t="shared" si="2"/>
        <v>93908.1</v>
      </c>
      <c r="J52" s="30">
        <f t="shared" si="3"/>
        <v>88288.1</v>
      </c>
    </row>
    <row r="53" spans="1:10" x14ac:dyDescent="0.25">
      <c r="A53" s="196">
        <v>48</v>
      </c>
      <c r="B53" s="197">
        <v>4.3090000000000003E-3</v>
      </c>
      <c r="C53" s="198">
        <v>93674</v>
      </c>
      <c r="D53" s="207">
        <v>31.26</v>
      </c>
      <c r="E53" s="205">
        <v>2.7160000000000001E-3</v>
      </c>
      <c r="F53" s="198">
        <v>96312</v>
      </c>
      <c r="G53" s="207">
        <v>34.89</v>
      </c>
      <c r="H53" s="41">
        <v>5.0000000000000001E-3</v>
      </c>
      <c r="I53" s="30">
        <f t="shared" si="2"/>
        <v>93572.785000000003</v>
      </c>
      <c r="J53" s="30">
        <f t="shared" si="3"/>
        <v>87615.785000000003</v>
      </c>
    </row>
    <row r="54" spans="1:10" x14ac:dyDescent="0.25">
      <c r="A54" s="196">
        <v>49</v>
      </c>
      <c r="B54" s="197">
        <v>4.7190000000000001E-3</v>
      </c>
      <c r="C54" s="198">
        <v>93270</v>
      </c>
      <c r="D54" s="207">
        <v>30.39</v>
      </c>
      <c r="E54" s="205">
        <v>2.96E-3</v>
      </c>
      <c r="F54" s="198">
        <v>96050</v>
      </c>
      <c r="G54" s="207">
        <v>33.99</v>
      </c>
      <c r="H54" s="41">
        <v>5.0000000000000001E-3</v>
      </c>
      <c r="I54" s="30">
        <f t="shared" si="2"/>
        <v>93205.63</v>
      </c>
      <c r="J54" s="30">
        <f t="shared" si="3"/>
        <v>86879.63</v>
      </c>
    </row>
    <row r="55" spans="1:10" x14ac:dyDescent="0.25">
      <c r="A55" s="193">
        <v>50</v>
      </c>
      <c r="B55" s="194">
        <v>5.156E-3</v>
      </c>
      <c r="C55" s="195">
        <v>92830</v>
      </c>
      <c r="D55" s="206">
        <v>29.53</v>
      </c>
      <c r="E55" s="204">
        <v>3.2260000000000001E-3</v>
      </c>
      <c r="F55" s="195">
        <v>95766</v>
      </c>
      <c r="G55" s="206">
        <v>33.090000000000003</v>
      </c>
      <c r="H55" s="41">
        <f>1.5/100</f>
        <v>1.4999999999999999E-2</v>
      </c>
      <c r="I55" s="30">
        <f t="shared" si="2"/>
        <v>92803.65</v>
      </c>
      <c r="J55" s="30">
        <f t="shared" si="3"/>
        <v>86073.65</v>
      </c>
    </row>
    <row r="56" spans="1:10" x14ac:dyDescent="0.25">
      <c r="A56" s="193">
        <v>51</v>
      </c>
      <c r="B56" s="194">
        <v>5.6220000000000003E-3</v>
      </c>
      <c r="C56" s="195">
        <v>92352</v>
      </c>
      <c r="D56" s="206">
        <v>28.68</v>
      </c>
      <c r="E56" s="204">
        <v>3.5049999999999999E-3</v>
      </c>
      <c r="F56" s="195">
        <v>95457</v>
      </c>
      <c r="G56" s="206">
        <v>32.19</v>
      </c>
      <c r="H56" s="41">
        <f t="shared" ref="H56:H64" si="4">1.5/100</f>
        <v>1.4999999999999999E-2</v>
      </c>
      <c r="I56" s="30">
        <f t="shared" si="2"/>
        <v>91437.55</v>
      </c>
      <c r="J56" s="30">
        <f t="shared" si="3"/>
        <v>84267.55</v>
      </c>
    </row>
    <row r="57" spans="1:10" x14ac:dyDescent="0.25">
      <c r="A57" s="193">
        <v>52</v>
      </c>
      <c r="B57" s="194">
        <v>6.1209999999999997E-3</v>
      </c>
      <c r="C57" s="195">
        <v>91832</v>
      </c>
      <c r="D57" s="206">
        <v>27.84</v>
      </c>
      <c r="E57" s="204">
        <v>3.7789999999999998E-3</v>
      </c>
      <c r="F57" s="195">
        <v>95123</v>
      </c>
      <c r="G57" s="206">
        <v>31.3</v>
      </c>
      <c r="H57" s="41">
        <f t="shared" si="4"/>
        <v>1.4999999999999999E-2</v>
      </c>
      <c r="I57" s="30">
        <f t="shared" si="2"/>
        <v>90966.720000000001</v>
      </c>
      <c r="J57" s="30">
        <f t="shared" si="3"/>
        <v>83318.720000000001</v>
      </c>
    </row>
    <row r="58" spans="1:10" x14ac:dyDescent="0.25">
      <c r="A58" s="193">
        <v>53</v>
      </c>
      <c r="B58" s="194">
        <v>6.6559999999999996E-3</v>
      </c>
      <c r="C58" s="195">
        <v>91270</v>
      </c>
      <c r="D58" s="206">
        <v>27.01</v>
      </c>
      <c r="E58" s="204">
        <v>4.0400000000000002E-3</v>
      </c>
      <c r="F58" s="195">
        <v>94763</v>
      </c>
      <c r="G58" s="206">
        <v>30.42</v>
      </c>
      <c r="H58" s="41">
        <f t="shared" si="4"/>
        <v>1.4999999999999999E-2</v>
      </c>
      <c r="I58" s="30">
        <f t="shared" si="2"/>
        <v>90454.52</v>
      </c>
      <c r="J58" s="30">
        <f t="shared" si="3"/>
        <v>82286.52</v>
      </c>
    </row>
    <row r="59" spans="1:10" x14ac:dyDescent="0.25">
      <c r="A59" s="193">
        <v>54</v>
      </c>
      <c r="B59" s="194">
        <v>7.2220000000000001E-3</v>
      </c>
      <c r="C59" s="195">
        <v>90663</v>
      </c>
      <c r="D59" s="206">
        <v>26.19</v>
      </c>
      <c r="E59" s="204">
        <v>4.3010000000000001E-3</v>
      </c>
      <c r="F59" s="195">
        <v>94380</v>
      </c>
      <c r="G59" s="206">
        <v>29.54</v>
      </c>
      <c r="H59" s="41">
        <f t="shared" si="4"/>
        <v>1.4999999999999999E-2</v>
      </c>
      <c r="I59" s="30">
        <f t="shared" si="2"/>
        <v>89900.95</v>
      </c>
      <c r="J59" s="30">
        <f t="shared" si="3"/>
        <v>81170.95</v>
      </c>
    </row>
    <row r="60" spans="1:10" x14ac:dyDescent="0.25">
      <c r="A60" s="196">
        <v>55</v>
      </c>
      <c r="B60" s="197">
        <v>7.8440000000000003E-3</v>
      </c>
      <c r="C60" s="198">
        <v>90008</v>
      </c>
      <c r="D60" s="207">
        <v>25.38</v>
      </c>
      <c r="E60" s="205">
        <v>4.5919999999999997E-3</v>
      </c>
      <c r="F60" s="198">
        <v>93974</v>
      </c>
      <c r="G60" s="207">
        <v>28.67</v>
      </c>
      <c r="H60" s="41">
        <f t="shared" si="4"/>
        <v>1.4999999999999999E-2</v>
      </c>
      <c r="I60" s="30">
        <f t="shared" si="2"/>
        <v>89303.054999999993</v>
      </c>
      <c r="J60" s="30">
        <f t="shared" si="3"/>
        <v>79966.054999999993</v>
      </c>
    </row>
    <row r="61" spans="1:10" x14ac:dyDescent="0.25">
      <c r="A61" s="196">
        <v>56</v>
      </c>
      <c r="B61" s="197">
        <v>8.4930000000000005E-3</v>
      </c>
      <c r="C61" s="198">
        <v>89302</v>
      </c>
      <c r="D61" s="207">
        <v>24.57</v>
      </c>
      <c r="E61" s="205">
        <v>4.9199999999999999E-3</v>
      </c>
      <c r="F61" s="198">
        <v>93543</v>
      </c>
      <c r="G61" s="207">
        <v>27.8</v>
      </c>
      <c r="H61" s="41">
        <f t="shared" si="4"/>
        <v>1.4999999999999999E-2</v>
      </c>
      <c r="I61" s="30">
        <f t="shared" si="2"/>
        <v>88657.88</v>
      </c>
      <c r="J61" s="30">
        <f t="shared" si="3"/>
        <v>78665.88</v>
      </c>
    </row>
    <row r="62" spans="1:10" x14ac:dyDescent="0.25">
      <c r="A62" s="196">
        <v>57</v>
      </c>
      <c r="B62" s="197">
        <v>9.1160000000000008E-3</v>
      </c>
      <c r="C62" s="198">
        <v>88544</v>
      </c>
      <c r="D62" s="207">
        <v>23.78</v>
      </c>
      <c r="E62" s="205">
        <v>5.2659999999999998E-3</v>
      </c>
      <c r="F62" s="198">
        <v>93083</v>
      </c>
      <c r="G62" s="207">
        <v>26.93</v>
      </c>
      <c r="H62" s="41">
        <f t="shared" si="4"/>
        <v>1.4999999999999999E-2</v>
      </c>
      <c r="I62" s="30">
        <f t="shared" si="2"/>
        <v>87962.47</v>
      </c>
      <c r="J62" s="30">
        <f t="shared" si="3"/>
        <v>77264.47</v>
      </c>
    </row>
    <row r="63" spans="1:10" x14ac:dyDescent="0.25">
      <c r="A63" s="202">
        <v>58</v>
      </c>
      <c r="B63" s="197">
        <v>9.6900000000000007E-3</v>
      </c>
      <c r="C63" s="198">
        <v>87736</v>
      </c>
      <c r="D63" s="207">
        <v>22.99</v>
      </c>
      <c r="E63" s="205">
        <v>5.6299999999999996E-3</v>
      </c>
      <c r="F63" s="198">
        <v>92592</v>
      </c>
      <c r="G63" s="207">
        <v>26.07</v>
      </c>
      <c r="H63" s="41">
        <f t="shared" si="4"/>
        <v>1.4999999999999999E-2</v>
      </c>
      <c r="I63" s="30">
        <f t="shared" si="2"/>
        <v>87215.84</v>
      </c>
      <c r="J63" s="201">
        <f t="shared" si="3"/>
        <v>75759.839999999997</v>
      </c>
    </row>
    <row r="64" spans="1:10" x14ac:dyDescent="0.25">
      <c r="A64" s="196">
        <v>59</v>
      </c>
      <c r="B64" s="197">
        <v>1.0253E-2</v>
      </c>
      <c r="C64" s="198">
        <v>86886</v>
      </c>
      <c r="D64" s="207">
        <v>22.21</v>
      </c>
      <c r="E64" s="205">
        <v>6.0280000000000004E-3</v>
      </c>
      <c r="F64" s="198">
        <v>92071</v>
      </c>
      <c r="G64" s="207">
        <v>25.22</v>
      </c>
      <c r="H64" s="41">
        <f t="shared" si="4"/>
        <v>1.4999999999999999E-2</v>
      </c>
      <c r="I64" s="30">
        <f t="shared" si="2"/>
        <v>86419.96</v>
      </c>
      <c r="J64" s="30">
        <f t="shared" si="3"/>
        <v>74155.960000000006</v>
      </c>
    </row>
    <row r="65" spans="1:10" x14ac:dyDescent="0.25">
      <c r="A65" s="193">
        <v>60</v>
      </c>
      <c r="B65" s="194">
        <v>1.0872E-2</v>
      </c>
      <c r="C65" s="195">
        <v>85995</v>
      </c>
      <c r="D65" s="206">
        <v>21.44</v>
      </c>
      <c r="E65" s="204">
        <v>6.4790000000000004E-3</v>
      </c>
      <c r="F65" s="195">
        <v>91516</v>
      </c>
      <c r="G65" s="206">
        <v>24.37</v>
      </c>
      <c r="H65" s="41">
        <f>7.6/100</f>
        <v>7.5999999999999998E-2</v>
      </c>
      <c r="I65" s="30">
        <f t="shared" si="2"/>
        <v>85582.71</v>
      </c>
      <c r="J65" s="30">
        <f t="shared" si="3"/>
        <v>72468.710000000006</v>
      </c>
    </row>
    <row r="66" spans="1:10" x14ac:dyDescent="0.25">
      <c r="A66" s="193">
        <v>61</v>
      </c>
      <c r="B66" s="194">
        <v>1.1591000000000001E-2</v>
      </c>
      <c r="C66" s="195">
        <v>85060</v>
      </c>
      <c r="D66" s="206">
        <v>20.67</v>
      </c>
      <c r="E66" s="204">
        <v>7.0010000000000003E-3</v>
      </c>
      <c r="F66" s="195">
        <v>90923</v>
      </c>
      <c r="G66" s="206">
        <v>23.52</v>
      </c>
      <c r="H66" s="41">
        <f t="shared" ref="H66:H74" si="5">7.6/100</f>
        <v>7.5999999999999998E-2</v>
      </c>
      <c r="I66" s="30">
        <f t="shared" si="2"/>
        <v>79459.38</v>
      </c>
      <c r="J66" s="30">
        <f t="shared" si="3"/>
        <v>65454.380000000005</v>
      </c>
    </row>
    <row r="67" spans="1:10" x14ac:dyDescent="0.25">
      <c r="A67" s="193">
        <v>62</v>
      </c>
      <c r="B67" s="194">
        <v>1.2403000000000001E-2</v>
      </c>
      <c r="C67" s="195">
        <v>84075</v>
      </c>
      <c r="D67" s="206">
        <v>19.899999999999999</v>
      </c>
      <c r="E67" s="204">
        <v>7.6020000000000003E-3</v>
      </c>
      <c r="F67" s="195">
        <v>90287</v>
      </c>
      <c r="G67" s="206">
        <v>22.68</v>
      </c>
      <c r="H67" s="41">
        <f t="shared" si="5"/>
        <v>7.5999999999999998E-2</v>
      </c>
      <c r="I67" s="30">
        <f t="shared" si="2"/>
        <v>78595.44</v>
      </c>
      <c r="J67" s="30">
        <f t="shared" si="3"/>
        <v>63655.44</v>
      </c>
    </row>
    <row r="68" spans="1:10" x14ac:dyDescent="0.25">
      <c r="A68" s="193">
        <v>63</v>
      </c>
      <c r="B68" s="194">
        <v>1.3325E-2</v>
      </c>
      <c r="C68" s="195">
        <v>83032</v>
      </c>
      <c r="D68" s="206">
        <v>19.149999999999999</v>
      </c>
      <c r="E68" s="204">
        <v>8.2939999999999993E-3</v>
      </c>
      <c r="F68" s="195">
        <v>89600</v>
      </c>
      <c r="G68" s="206">
        <v>21.85</v>
      </c>
      <c r="H68" s="41">
        <f t="shared" si="5"/>
        <v>7.5999999999999998E-2</v>
      </c>
      <c r="I68" s="30">
        <f t="shared" si="2"/>
        <v>77685.3</v>
      </c>
      <c r="J68" s="30">
        <f t="shared" si="3"/>
        <v>61760.3</v>
      </c>
    </row>
    <row r="69" spans="1:10" x14ac:dyDescent="0.25">
      <c r="A69" s="193">
        <v>64</v>
      </c>
      <c r="B69" s="194">
        <v>1.4370000000000001E-2</v>
      </c>
      <c r="C69" s="195">
        <v>81925</v>
      </c>
      <c r="D69" s="206">
        <v>18.399999999999999</v>
      </c>
      <c r="E69" s="204">
        <v>9.0819999999999998E-3</v>
      </c>
      <c r="F69" s="195">
        <v>88857</v>
      </c>
      <c r="G69" s="206">
        <v>21.03</v>
      </c>
      <c r="H69" s="41">
        <f t="shared" si="5"/>
        <v>7.5999999999999998E-2</v>
      </c>
      <c r="I69" s="30">
        <f t="shared" si="2"/>
        <v>76721.567999999999</v>
      </c>
      <c r="J69" s="30">
        <f t="shared" si="3"/>
        <v>59753.567999999999</v>
      </c>
    </row>
    <row r="70" spans="1:10" x14ac:dyDescent="0.25">
      <c r="A70" s="196">
        <v>65</v>
      </c>
      <c r="B70" s="197">
        <v>1.5553000000000001E-2</v>
      </c>
      <c r="C70" s="198">
        <v>80748</v>
      </c>
      <c r="D70" s="207">
        <v>17.66</v>
      </c>
      <c r="E70" s="205">
        <v>9.9900000000000006E-3</v>
      </c>
      <c r="F70" s="198">
        <v>88050</v>
      </c>
      <c r="G70" s="207">
        <v>20.22</v>
      </c>
      <c r="H70" s="41">
        <f t="shared" si="5"/>
        <v>7.5999999999999998E-2</v>
      </c>
      <c r="I70" s="30">
        <f t="shared" ref="I70:I101" si="6">C69-C69*H69</f>
        <v>75698.7</v>
      </c>
      <c r="J70" s="30">
        <f t="shared" ref="J70:J84" si="7">C69-(100000-I70)</f>
        <v>57623.7</v>
      </c>
    </row>
    <row r="71" spans="1:10" x14ac:dyDescent="0.25">
      <c r="A71" s="196">
        <v>66</v>
      </c>
      <c r="B71" s="197">
        <v>1.6878000000000001E-2</v>
      </c>
      <c r="C71" s="198">
        <v>79492</v>
      </c>
      <c r="D71" s="207">
        <v>16.93</v>
      </c>
      <c r="E71" s="205">
        <v>1.1004999999999999E-2</v>
      </c>
      <c r="F71" s="198">
        <v>87171</v>
      </c>
      <c r="G71" s="207">
        <v>19.420000000000002</v>
      </c>
      <c r="H71" s="41">
        <f t="shared" si="5"/>
        <v>7.5999999999999998E-2</v>
      </c>
      <c r="I71" s="30">
        <f t="shared" si="6"/>
        <v>74611.152000000002</v>
      </c>
      <c r="J71" s="30">
        <f t="shared" si="7"/>
        <v>55359.152000000002</v>
      </c>
    </row>
    <row r="72" spans="1:10" x14ac:dyDescent="0.25">
      <c r="A72" s="196">
        <v>67</v>
      </c>
      <c r="B72" s="197">
        <v>1.8348E-2</v>
      </c>
      <c r="C72" s="198">
        <v>78151</v>
      </c>
      <c r="D72" s="207">
        <v>16.21</v>
      </c>
      <c r="E72" s="205">
        <v>1.2097E-2</v>
      </c>
      <c r="F72" s="198">
        <v>86211</v>
      </c>
      <c r="G72" s="207">
        <v>18.63</v>
      </c>
      <c r="H72" s="41">
        <f t="shared" si="5"/>
        <v>7.5999999999999998E-2</v>
      </c>
      <c r="I72" s="30">
        <f t="shared" si="6"/>
        <v>73450.608000000007</v>
      </c>
      <c r="J72" s="30">
        <f t="shared" si="7"/>
        <v>52942.608000000007</v>
      </c>
    </row>
    <row r="73" spans="1:10" x14ac:dyDescent="0.25">
      <c r="A73" s="199">
        <v>68</v>
      </c>
      <c r="B73" s="197">
        <v>1.9969000000000001E-2</v>
      </c>
      <c r="C73" s="198">
        <v>76717</v>
      </c>
      <c r="D73" s="207">
        <v>15.51</v>
      </c>
      <c r="E73" s="205">
        <v>1.3261E-2</v>
      </c>
      <c r="F73" s="198">
        <v>85168</v>
      </c>
      <c r="G73" s="207">
        <v>17.850000000000001</v>
      </c>
      <c r="H73" s="41">
        <f t="shared" si="5"/>
        <v>7.5999999999999998E-2</v>
      </c>
      <c r="I73" s="30">
        <f t="shared" si="6"/>
        <v>72211.524000000005</v>
      </c>
      <c r="J73" s="94">
        <f t="shared" si="7"/>
        <v>50362.524000000005</v>
      </c>
    </row>
    <row r="74" spans="1:10" x14ac:dyDescent="0.25">
      <c r="A74" s="202">
        <v>69</v>
      </c>
      <c r="B74" s="197">
        <v>2.1766000000000001E-2</v>
      </c>
      <c r="C74" s="203">
        <v>75185</v>
      </c>
      <c r="D74" s="207">
        <v>14.81</v>
      </c>
      <c r="E74" s="205">
        <v>1.4529E-2</v>
      </c>
      <c r="F74" s="198">
        <v>84039</v>
      </c>
      <c r="G74" s="207">
        <v>17.09</v>
      </c>
      <c r="H74" s="41">
        <f t="shared" si="5"/>
        <v>7.5999999999999998E-2</v>
      </c>
      <c r="I74" s="30">
        <f t="shared" si="6"/>
        <v>70886.508000000002</v>
      </c>
      <c r="J74" s="30">
        <f t="shared" si="7"/>
        <v>47603.508000000002</v>
      </c>
    </row>
    <row r="75" spans="1:10" x14ac:dyDescent="0.25">
      <c r="A75" s="193">
        <v>70</v>
      </c>
      <c r="B75" s="194">
        <v>2.384E-2</v>
      </c>
      <c r="C75" s="195">
        <v>73548</v>
      </c>
      <c r="D75" s="206">
        <v>14.13</v>
      </c>
      <c r="E75" s="204">
        <v>1.5990999999999998E-2</v>
      </c>
      <c r="F75" s="195">
        <v>82818</v>
      </c>
      <c r="G75" s="206">
        <v>16.329999999999998</v>
      </c>
      <c r="H75" s="41">
        <f>23.2/100</f>
        <v>0.23199999999999998</v>
      </c>
      <c r="I75" s="30">
        <f t="shared" si="6"/>
        <v>69470.94</v>
      </c>
      <c r="J75" s="30">
        <f t="shared" si="7"/>
        <v>44655.94</v>
      </c>
    </row>
    <row r="76" spans="1:10" x14ac:dyDescent="0.25">
      <c r="A76" s="193">
        <v>71</v>
      </c>
      <c r="B76" s="194">
        <v>2.6162000000000001E-2</v>
      </c>
      <c r="C76" s="195">
        <v>71795</v>
      </c>
      <c r="D76" s="206">
        <v>13.47</v>
      </c>
      <c r="E76" s="204">
        <v>1.7662000000000001E-2</v>
      </c>
      <c r="F76" s="195">
        <v>81494</v>
      </c>
      <c r="G76" s="206">
        <v>15.59</v>
      </c>
      <c r="H76" s="41">
        <f t="shared" ref="H76:H84" si="8">23.2/100</f>
        <v>0.23199999999999998</v>
      </c>
      <c r="I76" s="30">
        <f t="shared" si="6"/>
        <v>56484.864000000001</v>
      </c>
      <c r="J76" s="30">
        <f t="shared" si="7"/>
        <v>30032.864000000001</v>
      </c>
    </row>
    <row r="77" spans="1:10" x14ac:dyDescent="0.25">
      <c r="A77" s="193">
        <v>72</v>
      </c>
      <c r="B77" s="194">
        <v>2.8625000000000001E-2</v>
      </c>
      <c r="C77" s="195">
        <v>69917</v>
      </c>
      <c r="D77" s="206">
        <v>12.81</v>
      </c>
      <c r="E77" s="204">
        <v>1.9486E-2</v>
      </c>
      <c r="F77" s="195">
        <v>80054</v>
      </c>
      <c r="G77" s="206">
        <v>14.86</v>
      </c>
      <c r="H77" s="41">
        <f t="shared" si="8"/>
        <v>0.23199999999999998</v>
      </c>
      <c r="I77" s="30">
        <f t="shared" si="6"/>
        <v>55138.559999999998</v>
      </c>
      <c r="J77" s="30">
        <f t="shared" si="7"/>
        <v>26933.559999999998</v>
      </c>
    </row>
    <row r="78" spans="1:10" x14ac:dyDescent="0.25">
      <c r="A78" s="193">
        <v>73</v>
      </c>
      <c r="B78" s="194">
        <v>3.1203999999999999E-2</v>
      </c>
      <c r="C78" s="195">
        <v>67915</v>
      </c>
      <c r="D78" s="206">
        <v>12.18</v>
      </c>
      <c r="E78" s="204">
        <v>2.1467E-2</v>
      </c>
      <c r="F78" s="195">
        <v>78494</v>
      </c>
      <c r="G78" s="206">
        <v>14.14</v>
      </c>
      <c r="H78" s="41">
        <f t="shared" si="8"/>
        <v>0.23199999999999998</v>
      </c>
      <c r="I78" s="30">
        <f t="shared" si="6"/>
        <v>53696.256000000001</v>
      </c>
      <c r="J78" s="30">
        <f t="shared" si="7"/>
        <v>23613.256000000001</v>
      </c>
    </row>
    <row r="79" spans="1:10" x14ac:dyDescent="0.25">
      <c r="A79" s="193">
        <v>74</v>
      </c>
      <c r="B79" s="194">
        <v>3.3996999999999999E-2</v>
      </c>
      <c r="C79" s="195">
        <v>65796</v>
      </c>
      <c r="D79" s="206">
        <v>11.55</v>
      </c>
      <c r="E79" s="204">
        <v>2.3657999999999998E-2</v>
      </c>
      <c r="F79" s="195">
        <v>76809</v>
      </c>
      <c r="G79" s="206">
        <v>13.44</v>
      </c>
      <c r="H79" s="41">
        <f t="shared" si="8"/>
        <v>0.23199999999999998</v>
      </c>
      <c r="I79" s="30">
        <f t="shared" si="6"/>
        <v>52158.720000000001</v>
      </c>
      <c r="J79" s="30">
        <f t="shared" si="7"/>
        <v>20073.72</v>
      </c>
    </row>
    <row r="80" spans="1:10" x14ac:dyDescent="0.25">
      <c r="A80" s="196">
        <v>75</v>
      </c>
      <c r="B80" s="197">
        <v>3.7199999999999997E-2</v>
      </c>
      <c r="C80" s="198">
        <v>63559</v>
      </c>
      <c r="D80" s="207">
        <v>10.94</v>
      </c>
      <c r="E80" s="205">
        <v>2.6223E-2</v>
      </c>
      <c r="F80" s="198">
        <v>74992</v>
      </c>
      <c r="G80" s="207">
        <v>12.76</v>
      </c>
      <c r="H80" s="41">
        <f t="shared" si="8"/>
        <v>0.23199999999999998</v>
      </c>
      <c r="I80" s="30">
        <f t="shared" si="6"/>
        <v>50531.328000000001</v>
      </c>
      <c r="J80" s="30">
        <f t="shared" si="7"/>
        <v>16327.328000000001</v>
      </c>
    </row>
    <row r="81" spans="1:10" x14ac:dyDescent="0.25">
      <c r="A81" s="196">
        <v>76</v>
      </c>
      <c r="B81" s="197">
        <v>4.0897999999999997E-2</v>
      </c>
      <c r="C81" s="198">
        <v>61195</v>
      </c>
      <c r="D81" s="207">
        <v>10.34</v>
      </c>
      <c r="E81" s="205">
        <v>2.9159000000000001E-2</v>
      </c>
      <c r="F81" s="198">
        <v>73026</v>
      </c>
      <c r="G81" s="207">
        <v>12.09</v>
      </c>
      <c r="H81" s="41">
        <f t="shared" si="8"/>
        <v>0.23199999999999998</v>
      </c>
      <c r="I81" s="30">
        <f t="shared" si="6"/>
        <v>48813.312000000005</v>
      </c>
      <c r="J81" s="30">
        <f t="shared" si="7"/>
        <v>12372.312000000005</v>
      </c>
    </row>
    <row r="82" spans="1:10" x14ac:dyDescent="0.25">
      <c r="A82" s="196">
        <v>77</v>
      </c>
      <c r="B82" s="197">
        <v>4.5039999999999997E-2</v>
      </c>
      <c r="C82" s="198">
        <v>58692</v>
      </c>
      <c r="D82" s="207">
        <v>9.76</v>
      </c>
      <c r="E82" s="205">
        <v>3.2330999999999999E-2</v>
      </c>
      <c r="F82" s="198">
        <v>70896</v>
      </c>
      <c r="G82" s="207">
        <v>11.44</v>
      </c>
      <c r="H82" s="41">
        <f t="shared" si="8"/>
        <v>0.23199999999999998</v>
      </c>
      <c r="I82" s="30">
        <f t="shared" si="6"/>
        <v>46997.760000000002</v>
      </c>
      <c r="J82" s="30">
        <f t="shared" si="7"/>
        <v>8192.760000000002</v>
      </c>
    </row>
    <row r="83" spans="1:10" x14ac:dyDescent="0.25">
      <c r="A83" s="196">
        <v>78</v>
      </c>
      <c r="B83" s="197">
        <v>4.9664E-2</v>
      </c>
      <c r="C83" s="198">
        <v>56048</v>
      </c>
      <c r="D83" s="207">
        <v>9.1999999999999993</v>
      </c>
      <c r="E83" s="205">
        <v>3.5725E-2</v>
      </c>
      <c r="F83" s="198">
        <v>68604</v>
      </c>
      <c r="G83" s="207">
        <v>10.8</v>
      </c>
      <c r="H83" s="41">
        <f t="shared" si="8"/>
        <v>0.23199999999999998</v>
      </c>
      <c r="I83" s="30">
        <f t="shared" si="6"/>
        <v>45075.455999999998</v>
      </c>
      <c r="J83" s="30">
        <f t="shared" si="7"/>
        <v>3767.4559999999983</v>
      </c>
    </row>
    <row r="84" spans="1:10" x14ac:dyDescent="0.25">
      <c r="A84" s="196">
        <v>79</v>
      </c>
      <c r="B84" s="197">
        <v>5.4843999999999997E-2</v>
      </c>
      <c r="C84" s="198">
        <v>53265</v>
      </c>
      <c r="D84" s="207">
        <v>8.66</v>
      </c>
      <c r="E84" s="205">
        <v>3.9468999999999997E-2</v>
      </c>
      <c r="F84" s="198">
        <v>66153</v>
      </c>
      <c r="G84" s="207">
        <v>10.18</v>
      </c>
      <c r="H84" s="41">
        <f t="shared" si="8"/>
        <v>0.23199999999999998</v>
      </c>
      <c r="I84" s="30">
        <f t="shared" si="6"/>
        <v>43044.864000000001</v>
      </c>
      <c r="J84" s="30">
        <f t="shared" si="7"/>
        <v>-907.1359999999986</v>
      </c>
    </row>
    <row r="85" spans="1:10" x14ac:dyDescent="0.25">
      <c r="A85" s="199">
        <v>80</v>
      </c>
      <c r="B85" s="194">
        <v>6.0801000000000001E-2</v>
      </c>
      <c r="C85" s="200">
        <v>50344</v>
      </c>
      <c r="D85" s="206">
        <v>8.1300000000000008</v>
      </c>
      <c r="E85" s="204">
        <v>4.3827999999999999E-2</v>
      </c>
      <c r="F85" s="195">
        <v>63542</v>
      </c>
      <c r="G85" s="206">
        <v>9.58</v>
      </c>
      <c r="H85" s="41">
        <f>30/100</f>
        <v>0.3</v>
      </c>
      <c r="I85" s="30">
        <f t="shared" si="6"/>
        <v>40907.520000000004</v>
      </c>
      <c r="J85" s="30"/>
    </row>
    <row r="86" spans="1:10" x14ac:dyDescent="0.25">
      <c r="A86" s="193">
        <v>81</v>
      </c>
      <c r="B86" s="194">
        <v>6.7509E-2</v>
      </c>
      <c r="C86" s="195">
        <v>47283</v>
      </c>
      <c r="D86" s="206">
        <v>7.62</v>
      </c>
      <c r="E86" s="204">
        <v>4.8896000000000002E-2</v>
      </c>
      <c r="F86" s="195">
        <v>60757</v>
      </c>
      <c r="G86" s="206">
        <v>9</v>
      </c>
      <c r="H86" s="41">
        <f t="shared" ref="H86:H94" si="9">30/100</f>
        <v>0.3</v>
      </c>
      <c r="I86" s="30">
        <f t="shared" si="6"/>
        <v>35240.800000000003</v>
      </c>
      <c r="J86" s="30"/>
    </row>
    <row r="87" spans="1:10" x14ac:dyDescent="0.25">
      <c r="A87" s="193">
        <v>82</v>
      </c>
      <c r="B87" s="194">
        <v>7.4778999999999998E-2</v>
      </c>
      <c r="C87" s="195">
        <v>44091</v>
      </c>
      <c r="D87" s="206">
        <v>7.14</v>
      </c>
      <c r="E87" s="204">
        <v>5.4577000000000001E-2</v>
      </c>
      <c r="F87" s="195">
        <v>57786</v>
      </c>
      <c r="G87" s="206">
        <v>8.43</v>
      </c>
      <c r="H87" s="41">
        <f t="shared" si="9"/>
        <v>0.3</v>
      </c>
      <c r="I87" s="30">
        <f t="shared" si="6"/>
        <v>33098.1</v>
      </c>
      <c r="J87" s="30"/>
    </row>
    <row r="88" spans="1:10" x14ac:dyDescent="0.25">
      <c r="A88" s="193">
        <v>83</v>
      </c>
      <c r="B88" s="194">
        <v>8.2588999999999996E-2</v>
      </c>
      <c r="C88" s="195">
        <v>40794</v>
      </c>
      <c r="D88" s="206">
        <v>6.68</v>
      </c>
      <c r="E88" s="204">
        <v>6.0908999999999998E-2</v>
      </c>
      <c r="F88" s="195">
        <v>54633</v>
      </c>
      <c r="G88" s="206">
        <v>7.89</v>
      </c>
      <c r="H88" s="41">
        <f t="shared" si="9"/>
        <v>0.3</v>
      </c>
      <c r="I88" s="30">
        <f t="shared" si="6"/>
        <v>30863.7</v>
      </c>
      <c r="J88" s="30"/>
    </row>
    <row r="89" spans="1:10" x14ac:dyDescent="0.25">
      <c r="A89" s="193">
        <v>84</v>
      </c>
      <c r="B89" s="194">
        <v>9.1134999999999994E-2</v>
      </c>
      <c r="C89" s="195">
        <v>37424</v>
      </c>
      <c r="D89" s="206">
        <v>6.23</v>
      </c>
      <c r="E89" s="204">
        <v>6.8018999999999996E-2</v>
      </c>
      <c r="F89" s="195">
        <v>51305</v>
      </c>
      <c r="G89" s="206">
        <v>7.37</v>
      </c>
      <c r="H89" s="41">
        <f t="shared" si="9"/>
        <v>0.3</v>
      </c>
      <c r="I89" s="30">
        <f t="shared" si="6"/>
        <v>28555.800000000003</v>
      </c>
      <c r="J89" s="30"/>
    </row>
    <row r="90" spans="1:10" x14ac:dyDescent="0.25">
      <c r="A90" s="196">
        <v>85</v>
      </c>
      <c r="B90" s="197">
        <v>0.10068000000000001</v>
      </c>
      <c r="C90" s="198">
        <v>34014</v>
      </c>
      <c r="D90" s="207">
        <v>5.81</v>
      </c>
      <c r="E90" s="205">
        <v>7.6053999999999997E-2</v>
      </c>
      <c r="F90" s="198">
        <v>47815</v>
      </c>
      <c r="G90" s="207">
        <v>6.87</v>
      </c>
      <c r="H90" s="41">
        <f t="shared" si="9"/>
        <v>0.3</v>
      </c>
      <c r="I90" s="30">
        <f t="shared" si="6"/>
        <v>26196.800000000003</v>
      </c>
      <c r="J90" s="30"/>
    </row>
    <row r="91" spans="1:10" x14ac:dyDescent="0.25">
      <c r="A91" s="196">
        <v>86</v>
      </c>
      <c r="B91" s="197">
        <v>0.111444</v>
      </c>
      <c r="C91" s="198">
        <v>30589</v>
      </c>
      <c r="D91" s="207">
        <v>5.4</v>
      </c>
      <c r="E91" s="205">
        <v>8.5148000000000001E-2</v>
      </c>
      <c r="F91" s="198">
        <v>44179</v>
      </c>
      <c r="G91" s="207">
        <v>6.4</v>
      </c>
      <c r="H91" s="41">
        <f t="shared" si="9"/>
        <v>0.3</v>
      </c>
      <c r="I91" s="30">
        <f t="shared" si="6"/>
        <v>23809.800000000003</v>
      </c>
      <c r="J91" s="30"/>
    </row>
    <row r="92" spans="1:10" x14ac:dyDescent="0.25">
      <c r="A92" s="196">
        <v>87</v>
      </c>
      <c r="B92" s="197">
        <v>0.123571</v>
      </c>
      <c r="C92" s="198">
        <v>27180</v>
      </c>
      <c r="D92" s="207">
        <v>5.0199999999999996</v>
      </c>
      <c r="E92" s="205">
        <v>9.5394999999999994E-2</v>
      </c>
      <c r="F92" s="198">
        <v>40417</v>
      </c>
      <c r="G92" s="207">
        <v>5.94</v>
      </c>
      <c r="H92" s="41">
        <f t="shared" si="9"/>
        <v>0.3</v>
      </c>
      <c r="I92" s="30">
        <f t="shared" si="6"/>
        <v>21412.300000000003</v>
      </c>
      <c r="J92" s="30"/>
    </row>
    <row r="93" spans="1:10" x14ac:dyDescent="0.25">
      <c r="A93" s="196">
        <v>88</v>
      </c>
      <c r="B93" s="197">
        <v>0.137126</v>
      </c>
      <c r="C93" s="198">
        <v>23822</v>
      </c>
      <c r="D93" s="207">
        <v>4.6500000000000004</v>
      </c>
      <c r="E93" s="205">
        <v>0.10685699999999999</v>
      </c>
      <c r="F93" s="198">
        <v>36561</v>
      </c>
      <c r="G93" s="207">
        <v>5.52</v>
      </c>
      <c r="H93" s="41">
        <f t="shared" si="9"/>
        <v>0.3</v>
      </c>
      <c r="I93" s="30">
        <f t="shared" si="6"/>
        <v>19026</v>
      </c>
      <c r="J93" s="30"/>
    </row>
    <row r="94" spans="1:10" x14ac:dyDescent="0.25">
      <c r="A94" s="196">
        <v>89</v>
      </c>
      <c r="B94" s="197">
        <v>0.152092</v>
      </c>
      <c r="C94" s="198">
        <v>20555</v>
      </c>
      <c r="D94" s="207">
        <v>4.3099999999999996</v>
      </c>
      <c r="E94" s="205">
        <v>0.119557</v>
      </c>
      <c r="F94" s="198">
        <v>32655</v>
      </c>
      <c r="G94" s="207">
        <v>5.12</v>
      </c>
      <c r="H94" s="41">
        <f t="shared" si="9"/>
        <v>0.3</v>
      </c>
      <c r="I94" s="30">
        <f t="shared" si="6"/>
        <v>16675.400000000001</v>
      </c>
      <c r="J94" s="30"/>
    </row>
    <row r="95" spans="1:10" x14ac:dyDescent="0.25">
      <c r="A95" s="193">
        <v>90</v>
      </c>
      <c r="B95" s="194">
        <v>0.16842599999999999</v>
      </c>
      <c r="C95" s="195">
        <v>17429</v>
      </c>
      <c r="D95" s="206">
        <v>4</v>
      </c>
      <c r="E95" s="204">
        <v>0.13350200000000001</v>
      </c>
      <c r="F95" s="195">
        <v>28751</v>
      </c>
      <c r="G95" s="206">
        <v>4.75</v>
      </c>
      <c r="H95" s="41">
        <f>29.3/100</f>
        <v>0.29299999999999998</v>
      </c>
      <c r="I95" s="30">
        <f t="shared" si="6"/>
        <v>14388.5</v>
      </c>
      <c r="J95" s="30"/>
    </row>
    <row r="96" spans="1:10" x14ac:dyDescent="0.25">
      <c r="A96" s="193">
        <v>91</v>
      </c>
      <c r="B96" s="194">
        <v>0.18606300000000001</v>
      </c>
      <c r="C96" s="195">
        <v>14493</v>
      </c>
      <c r="D96" s="206">
        <v>3.7</v>
      </c>
      <c r="E96" s="204">
        <v>0.14868500000000001</v>
      </c>
      <c r="F96" s="195">
        <v>24912</v>
      </c>
      <c r="G96" s="206">
        <v>4.4000000000000004</v>
      </c>
      <c r="H96" s="41">
        <f t="shared" ref="H96:H124" si="10">29.3/100</f>
        <v>0.29299999999999998</v>
      </c>
      <c r="I96" s="30">
        <f t="shared" si="6"/>
        <v>12322.303</v>
      </c>
      <c r="J96" s="30"/>
    </row>
    <row r="97" spans="1:10" x14ac:dyDescent="0.25">
      <c r="A97" s="193">
        <v>92</v>
      </c>
      <c r="B97" s="194">
        <v>0.204925</v>
      </c>
      <c r="C97" s="195">
        <v>11797</v>
      </c>
      <c r="D97" s="206">
        <v>3.44</v>
      </c>
      <c r="E97" s="204">
        <v>0.16508800000000001</v>
      </c>
      <c r="F97" s="195">
        <v>21208</v>
      </c>
      <c r="G97" s="206">
        <v>4.08</v>
      </c>
      <c r="H97" s="41">
        <f t="shared" si="10"/>
        <v>0.29299999999999998</v>
      </c>
      <c r="I97" s="30">
        <f t="shared" si="6"/>
        <v>10246.550999999999</v>
      </c>
      <c r="J97" s="30"/>
    </row>
    <row r="98" spans="1:10" x14ac:dyDescent="0.25">
      <c r="A98" s="193">
        <v>93</v>
      </c>
      <c r="B98" s="194">
        <v>0.22493099999999999</v>
      </c>
      <c r="C98" s="195">
        <v>9379</v>
      </c>
      <c r="D98" s="206">
        <v>3.19</v>
      </c>
      <c r="E98" s="204">
        <v>0.18268499999999999</v>
      </c>
      <c r="F98" s="195">
        <v>17707</v>
      </c>
      <c r="G98" s="206">
        <v>3.79</v>
      </c>
      <c r="H98" s="41">
        <f t="shared" si="10"/>
        <v>0.29299999999999998</v>
      </c>
      <c r="I98" s="30">
        <f t="shared" si="6"/>
        <v>8340.4789999999994</v>
      </c>
      <c r="J98" s="30"/>
    </row>
    <row r="99" spans="1:10" x14ac:dyDescent="0.25">
      <c r="A99" s="193">
        <v>94</v>
      </c>
      <c r="B99" s="194">
        <v>0.24599499999999999</v>
      </c>
      <c r="C99" s="195">
        <v>7270</v>
      </c>
      <c r="D99" s="206">
        <v>2.97</v>
      </c>
      <c r="E99" s="204">
        <v>0.20144200000000001</v>
      </c>
      <c r="F99" s="195">
        <v>14472</v>
      </c>
      <c r="G99" s="206">
        <v>3.53</v>
      </c>
      <c r="H99" s="41">
        <f t="shared" si="10"/>
        <v>0.29299999999999998</v>
      </c>
      <c r="I99" s="30">
        <f t="shared" si="6"/>
        <v>6630.9529999999995</v>
      </c>
      <c r="J99" s="30"/>
    </row>
    <row r="100" spans="1:10" x14ac:dyDescent="0.25">
      <c r="A100" s="196">
        <v>95</v>
      </c>
      <c r="B100" s="197">
        <v>0.26688400000000001</v>
      </c>
      <c r="C100" s="198">
        <v>5481</v>
      </c>
      <c r="D100" s="207">
        <v>2.78</v>
      </c>
      <c r="E100" s="205">
        <v>0.22040599999999999</v>
      </c>
      <c r="F100" s="198">
        <v>11557</v>
      </c>
      <c r="G100" s="207">
        <v>3.29</v>
      </c>
      <c r="H100" s="41">
        <f t="shared" si="10"/>
        <v>0.29299999999999998</v>
      </c>
      <c r="I100" s="30">
        <f t="shared" si="6"/>
        <v>5139.8900000000003</v>
      </c>
      <c r="J100" s="30"/>
    </row>
    <row r="101" spans="1:10" x14ac:dyDescent="0.25">
      <c r="A101" s="196">
        <v>96</v>
      </c>
      <c r="B101" s="197">
        <v>0.28721799999999997</v>
      </c>
      <c r="C101" s="198">
        <v>4018</v>
      </c>
      <c r="D101" s="207">
        <v>2.61</v>
      </c>
      <c r="E101" s="205">
        <v>0.23927300000000001</v>
      </c>
      <c r="F101" s="198">
        <v>9010</v>
      </c>
      <c r="G101" s="207">
        <v>3.08</v>
      </c>
      <c r="H101" s="41">
        <f t="shared" si="10"/>
        <v>0.29299999999999998</v>
      </c>
      <c r="I101" s="30">
        <f t="shared" si="6"/>
        <v>3875.067</v>
      </c>
      <c r="J101" s="30"/>
    </row>
    <row r="102" spans="1:10" x14ac:dyDescent="0.25">
      <c r="A102" s="196">
        <v>97</v>
      </c>
      <c r="B102" s="197">
        <v>0.306593</v>
      </c>
      <c r="C102" s="198">
        <v>2864</v>
      </c>
      <c r="D102" s="207">
        <v>2.46</v>
      </c>
      <c r="E102" s="205">
        <v>0.257714</v>
      </c>
      <c r="F102" s="198">
        <v>6854</v>
      </c>
      <c r="G102" s="207">
        <v>2.89</v>
      </c>
      <c r="H102" s="41">
        <f t="shared" si="10"/>
        <v>0.29299999999999998</v>
      </c>
      <c r="I102" s="30">
        <f t="shared" ref="I102:I124" si="11">C101-C101*H101</f>
        <v>2840.7260000000001</v>
      </c>
      <c r="J102" s="30"/>
    </row>
    <row r="103" spans="1:10" x14ac:dyDescent="0.25">
      <c r="A103" s="196">
        <v>98</v>
      </c>
      <c r="B103" s="197">
        <v>0.32459900000000003</v>
      </c>
      <c r="C103" s="198">
        <v>1986</v>
      </c>
      <c r="D103" s="207">
        <v>2.33</v>
      </c>
      <c r="E103" s="205">
        <v>0.27537600000000001</v>
      </c>
      <c r="F103" s="198">
        <v>5088</v>
      </c>
      <c r="G103" s="207">
        <v>2.72</v>
      </c>
      <c r="H103" s="41">
        <f t="shared" si="10"/>
        <v>0.29299999999999998</v>
      </c>
      <c r="I103" s="30">
        <f t="shared" si="11"/>
        <v>2024.848</v>
      </c>
      <c r="J103" s="30"/>
    </row>
    <row r="104" spans="1:10" x14ac:dyDescent="0.25">
      <c r="A104" s="196">
        <v>99</v>
      </c>
      <c r="B104" s="197">
        <v>0.34082899999999999</v>
      </c>
      <c r="C104" s="198">
        <v>1341</v>
      </c>
      <c r="D104" s="207">
        <v>2.21</v>
      </c>
      <c r="E104" s="205">
        <v>0.29189900000000002</v>
      </c>
      <c r="F104" s="198">
        <v>3687</v>
      </c>
      <c r="G104" s="207">
        <v>2.56</v>
      </c>
      <c r="H104" s="41">
        <f t="shared" si="10"/>
        <v>0.29299999999999998</v>
      </c>
      <c r="I104" s="30">
        <f t="shared" si="11"/>
        <v>1404.1020000000001</v>
      </c>
      <c r="J104" s="30"/>
    </row>
    <row r="105" spans="1:10" x14ac:dyDescent="0.25">
      <c r="A105" s="193">
        <v>100</v>
      </c>
      <c r="B105" s="194">
        <v>0.35787000000000002</v>
      </c>
      <c r="C105" s="194">
        <v>884</v>
      </c>
      <c r="D105" s="206">
        <v>2.09</v>
      </c>
      <c r="E105" s="204">
        <v>0.30941299999999999</v>
      </c>
      <c r="F105" s="195">
        <v>2610</v>
      </c>
      <c r="G105" s="206">
        <v>2.41</v>
      </c>
      <c r="H105" s="41">
        <f t="shared" si="10"/>
        <v>0.29299999999999998</v>
      </c>
      <c r="I105" s="30">
        <f t="shared" si="11"/>
        <v>948.08699999999999</v>
      </c>
      <c r="J105" s="30"/>
    </row>
    <row r="106" spans="1:10" x14ac:dyDescent="0.25">
      <c r="A106" s="193">
        <v>101</v>
      </c>
      <c r="B106" s="194">
        <v>0.37576399999999999</v>
      </c>
      <c r="C106" s="194">
        <v>568</v>
      </c>
      <c r="D106" s="206">
        <v>1.98</v>
      </c>
      <c r="E106" s="204">
        <v>0.32797799999999999</v>
      </c>
      <c r="F106" s="195">
        <v>1803</v>
      </c>
      <c r="G106" s="206">
        <v>2.27</v>
      </c>
      <c r="H106" s="41">
        <f t="shared" si="10"/>
        <v>0.29299999999999998</v>
      </c>
      <c r="I106" s="30">
        <f t="shared" si="11"/>
        <v>624.98800000000006</v>
      </c>
      <c r="J106" s="30"/>
    </row>
    <row r="107" spans="1:10" x14ac:dyDescent="0.25">
      <c r="A107" s="193">
        <v>102</v>
      </c>
      <c r="B107" s="194">
        <v>0.39455200000000001</v>
      </c>
      <c r="C107" s="194">
        <v>354</v>
      </c>
      <c r="D107" s="206">
        <v>1.88</v>
      </c>
      <c r="E107" s="204">
        <v>0.34765600000000002</v>
      </c>
      <c r="F107" s="195">
        <v>1211</v>
      </c>
      <c r="G107" s="206">
        <v>2.13</v>
      </c>
      <c r="H107" s="41">
        <f t="shared" si="10"/>
        <v>0.29299999999999998</v>
      </c>
      <c r="I107" s="30">
        <f t="shared" si="11"/>
        <v>401.57600000000002</v>
      </c>
      <c r="J107" s="30"/>
    </row>
    <row r="108" spans="1:10" x14ac:dyDescent="0.25">
      <c r="A108" s="193">
        <v>103</v>
      </c>
      <c r="B108" s="194">
        <v>0.41427999999999998</v>
      </c>
      <c r="C108" s="194">
        <v>215</v>
      </c>
      <c r="D108" s="206">
        <v>1.77</v>
      </c>
      <c r="E108" s="204">
        <v>0.36851600000000001</v>
      </c>
      <c r="F108" s="194">
        <v>790</v>
      </c>
      <c r="G108" s="206">
        <v>2</v>
      </c>
      <c r="H108" s="41">
        <f t="shared" si="10"/>
        <v>0.29299999999999998</v>
      </c>
      <c r="I108" s="30">
        <f t="shared" si="11"/>
        <v>250.27800000000002</v>
      </c>
      <c r="J108" s="30"/>
    </row>
    <row r="109" spans="1:10" x14ac:dyDescent="0.25">
      <c r="A109" s="193">
        <v>104</v>
      </c>
      <c r="B109" s="194">
        <v>0.43499300000000002</v>
      </c>
      <c r="C109" s="194">
        <v>126</v>
      </c>
      <c r="D109" s="206">
        <v>1.68</v>
      </c>
      <c r="E109" s="204">
        <v>0.390627</v>
      </c>
      <c r="F109" s="194">
        <v>499</v>
      </c>
      <c r="G109" s="206">
        <v>1.87</v>
      </c>
      <c r="H109" s="41">
        <f t="shared" si="10"/>
        <v>0.29299999999999998</v>
      </c>
      <c r="I109" s="30">
        <f t="shared" si="11"/>
        <v>152.005</v>
      </c>
      <c r="J109" s="30"/>
    </row>
    <row r="110" spans="1:10" x14ac:dyDescent="0.25">
      <c r="A110" s="196">
        <v>105</v>
      </c>
      <c r="B110" s="197">
        <v>0.45674300000000001</v>
      </c>
      <c r="C110" s="197">
        <v>71</v>
      </c>
      <c r="D110" s="207">
        <v>1.58</v>
      </c>
      <c r="E110" s="205">
        <v>0.41406399999999999</v>
      </c>
      <c r="F110" s="197">
        <v>304</v>
      </c>
      <c r="G110" s="207">
        <v>1.75</v>
      </c>
      <c r="H110" s="41">
        <f t="shared" si="10"/>
        <v>0.29299999999999998</v>
      </c>
      <c r="I110" s="30">
        <f t="shared" si="11"/>
        <v>89.081999999999994</v>
      </c>
      <c r="J110" s="30"/>
    </row>
    <row r="111" spans="1:10" x14ac:dyDescent="0.25">
      <c r="A111" s="196">
        <v>106</v>
      </c>
      <c r="B111" s="197">
        <v>0.47958000000000001</v>
      </c>
      <c r="C111" s="197">
        <v>39</v>
      </c>
      <c r="D111" s="207">
        <v>1.49</v>
      </c>
      <c r="E111" s="205">
        <v>0.43890800000000002</v>
      </c>
      <c r="F111" s="197">
        <v>178</v>
      </c>
      <c r="G111" s="207">
        <v>1.64</v>
      </c>
      <c r="H111" s="41">
        <f t="shared" si="10"/>
        <v>0.29299999999999998</v>
      </c>
      <c r="I111" s="30">
        <f t="shared" si="11"/>
        <v>50.197000000000003</v>
      </c>
      <c r="J111" s="30"/>
    </row>
    <row r="112" spans="1:10" x14ac:dyDescent="0.25">
      <c r="A112" s="196">
        <v>107</v>
      </c>
      <c r="B112" s="197">
        <v>0.50355899999999998</v>
      </c>
      <c r="C112" s="197">
        <v>20</v>
      </c>
      <c r="D112" s="207">
        <v>1.4</v>
      </c>
      <c r="E112" s="205">
        <v>0.46524300000000002</v>
      </c>
      <c r="F112" s="197">
        <v>100</v>
      </c>
      <c r="G112" s="207">
        <v>1.53</v>
      </c>
      <c r="H112" s="41">
        <f t="shared" si="10"/>
        <v>0.29299999999999998</v>
      </c>
      <c r="I112" s="30">
        <f t="shared" si="11"/>
        <v>27.573</v>
      </c>
      <c r="J112" s="30"/>
    </row>
    <row r="113" spans="1:10" x14ac:dyDescent="0.25">
      <c r="A113" s="196">
        <v>108</v>
      </c>
      <c r="B113" s="197">
        <v>0.52873700000000001</v>
      </c>
      <c r="C113" s="197">
        <v>10</v>
      </c>
      <c r="D113" s="207">
        <v>1.32</v>
      </c>
      <c r="E113" s="205">
        <v>0.49315700000000001</v>
      </c>
      <c r="F113" s="197">
        <v>53</v>
      </c>
      <c r="G113" s="207">
        <v>1.43</v>
      </c>
      <c r="H113" s="41">
        <f t="shared" si="10"/>
        <v>0.29299999999999998</v>
      </c>
      <c r="I113" s="30">
        <f t="shared" si="11"/>
        <v>14.14</v>
      </c>
      <c r="J113" s="30"/>
    </row>
    <row r="114" spans="1:10" x14ac:dyDescent="0.25">
      <c r="A114" s="196">
        <v>109</v>
      </c>
      <c r="B114" s="197">
        <v>0.55517399999999995</v>
      </c>
      <c r="C114" s="197">
        <v>5</v>
      </c>
      <c r="D114" s="207">
        <v>1.24</v>
      </c>
      <c r="E114" s="205">
        <v>0.52274699999999996</v>
      </c>
      <c r="F114" s="197">
        <v>27</v>
      </c>
      <c r="G114" s="207">
        <v>1.33</v>
      </c>
      <c r="H114" s="41">
        <f t="shared" si="10"/>
        <v>0.29299999999999998</v>
      </c>
      <c r="I114" s="30">
        <f t="shared" si="11"/>
        <v>7.07</v>
      </c>
      <c r="J114" s="30"/>
    </row>
    <row r="115" spans="1:10" x14ac:dyDescent="0.25">
      <c r="A115" s="193">
        <v>110</v>
      </c>
      <c r="B115" s="194">
        <v>0.58293300000000003</v>
      </c>
      <c r="C115" s="194">
        <v>2</v>
      </c>
      <c r="D115" s="206">
        <v>1.1599999999999999</v>
      </c>
      <c r="E115" s="204">
        <v>0.55411100000000002</v>
      </c>
      <c r="F115" s="194">
        <v>13</v>
      </c>
      <c r="G115" s="206">
        <v>1.23</v>
      </c>
      <c r="H115" s="41">
        <f t="shared" si="10"/>
        <v>0.29299999999999998</v>
      </c>
      <c r="I115" s="30">
        <f t="shared" si="11"/>
        <v>3.5350000000000001</v>
      </c>
      <c r="J115" s="30"/>
    </row>
    <row r="116" spans="1:10" x14ac:dyDescent="0.25">
      <c r="A116" s="193">
        <v>111</v>
      </c>
      <c r="B116" s="194">
        <v>0.61207999999999996</v>
      </c>
      <c r="C116" s="194">
        <v>1</v>
      </c>
      <c r="D116" s="206">
        <v>1.0900000000000001</v>
      </c>
      <c r="E116" s="204">
        <v>0.58735800000000005</v>
      </c>
      <c r="F116" s="194">
        <v>6</v>
      </c>
      <c r="G116" s="206">
        <v>1.1399999999999999</v>
      </c>
      <c r="H116" s="41">
        <f t="shared" si="10"/>
        <v>0.29299999999999998</v>
      </c>
      <c r="I116" s="30">
        <f t="shared" si="11"/>
        <v>1.4140000000000001</v>
      </c>
      <c r="J116" s="30"/>
    </row>
    <row r="117" spans="1:10" x14ac:dyDescent="0.25">
      <c r="A117" s="193">
        <v>112</v>
      </c>
      <c r="B117" s="194">
        <v>0.642683</v>
      </c>
      <c r="C117" s="194">
        <v>0</v>
      </c>
      <c r="D117" s="206">
        <v>1.02</v>
      </c>
      <c r="E117" s="204">
        <v>0.62259900000000001</v>
      </c>
      <c r="F117" s="194">
        <v>2</v>
      </c>
      <c r="G117" s="206">
        <v>1.06</v>
      </c>
      <c r="H117" s="41">
        <f t="shared" si="10"/>
        <v>0.29299999999999998</v>
      </c>
      <c r="I117" s="30">
        <f t="shared" si="11"/>
        <v>0.70700000000000007</v>
      </c>
      <c r="J117" s="30"/>
    </row>
    <row r="118" spans="1:10" x14ac:dyDescent="0.25">
      <c r="A118" s="193">
        <v>113</v>
      </c>
      <c r="B118" s="194">
        <v>0.67481800000000003</v>
      </c>
      <c r="C118" s="194">
        <v>0</v>
      </c>
      <c r="D118" s="206">
        <v>0.95</v>
      </c>
      <c r="E118" s="204">
        <v>0.65995499999999996</v>
      </c>
      <c r="F118" s="194">
        <v>1</v>
      </c>
      <c r="G118" s="206">
        <v>0.98</v>
      </c>
      <c r="H118" s="41">
        <f t="shared" si="10"/>
        <v>0.29299999999999998</v>
      </c>
      <c r="I118" s="30">
        <f t="shared" si="11"/>
        <v>0</v>
      </c>
      <c r="J118" s="30"/>
    </row>
    <row r="119" spans="1:10" x14ac:dyDescent="0.25">
      <c r="A119" s="193">
        <v>114</v>
      </c>
      <c r="B119" s="194">
        <v>0.70855900000000005</v>
      </c>
      <c r="C119" s="194">
        <v>0</v>
      </c>
      <c r="D119" s="206">
        <v>0.89</v>
      </c>
      <c r="E119" s="204">
        <v>0.69955299999999998</v>
      </c>
      <c r="F119" s="194">
        <v>0</v>
      </c>
      <c r="G119" s="206">
        <v>0.9</v>
      </c>
      <c r="H119" s="41">
        <f t="shared" si="10"/>
        <v>0.29299999999999998</v>
      </c>
      <c r="I119" s="30">
        <f t="shared" si="11"/>
        <v>0</v>
      </c>
      <c r="J119" s="30"/>
    </row>
    <row r="120" spans="1:10" x14ac:dyDescent="0.25">
      <c r="A120" s="196">
        <v>115</v>
      </c>
      <c r="B120" s="197">
        <v>0.74398600000000004</v>
      </c>
      <c r="C120" s="197">
        <v>0</v>
      </c>
      <c r="D120" s="207">
        <v>0.82</v>
      </c>
      <c r="E120" s="205">
        <v>0.74152600000000002</v>
      </c>
      <c r="F120" s="197">
        <v>0</v>
      </c>
      <c r="G120" s="207">
        <v>0.83</v>
      </c>
      <c r="H120" s="41">
        <f t="shared" si="10"/>
        <v>0.29299999999999998</v>
      </c>
      <c r="I120" s="30">
        <f t="shared" si="11"/>
        <v>0</v>
      </c>
      <c r="J120" s="30"/>
    </row>
    <row r="121" spans="1:10" x14ac:dyDescent="0.25">
      <c r="A121" s="196">
        <v>116</v>
      </c>
      <c r="B121" s="197">
        <v>0.78118600000000005</v>
      </c>
      <c r="C121" s="197">
        <v>0</v>
      </c>
      <c r="D121" s="207">
        <v>0.76</v>
      </c>
      <c r="E121" s="205">
        <v>0.78118600000000005</v>
      </c>
      <c r="F121" s="197">
        <v>0</v>
      </c>
      <c r="G121" s="207">
        <v>0.76</v>
      </c>
      <c r="H121" s="41">
        <f t="shared" si="10"/>
        <v>0.29299999999999998</v>
      </c>
      <c r="I121" s="30">
        <f t="shared" si="11"/>
        <v>0</v>
      </c>
      <c r="J121" s="30"/>
    </row>
    <row r="122" spans="1:10" x14ac:dyDescent="0.25">
      <c r="A122" s="196">
        <v>117</v>
      </c>
      <c r="B122" s="197">
        <v>0.820245</v>
      </c>
      <c r="C122" s="197">
        <v>0</v>
      </c>
      <c r="D122" s="207">
        <v>0.71</v>
      </c>
      <c r="E122" s="205">
        <v>0.820245</v>
      </c>
      <c r="F122" s="197">
        <v>0</v>
      </c>
      <c r="G122" s="207">
        <v>0.71</v>
      </c>
      <c r="H122" s="41">
        <f t="shared" si="10"/>
        <v>0.29299999999999998</v>
      </c>
      <c r="I122" s="30">
        <f t="shared" si="11"/>
        <v>0</v>
      </c>
      <c r="J122" s="30"/>
    </row>
    <row r="123" spans="1:10" x14ac:dyDescent="0.25">
      <c r="A123" s="196">
        <v>118</v>
      </c>
      <c r="B123" s="197">
        <v>0.86125700000000005</v>
      </c>
      <c r="C123" s="197">
        <v>0</v>
      </c>
      <c r="D123" s="207">
        <v>0.65</v>
      </c>
      <c r="E123" s="205">
        <v>0.86125700000000005</v>
      </c>
      <c r="F123" s="197">
        <v>0</v>
      </c>
      <c r="G123" s="207">
        <v>0.65</v>
      </c>
      <c r="H123" s="41">
        <f t="shared" si="10"/>
        <v>0.29299999999999998</v>
      </c>
      <c r="I123" s="30">
        <f t="shared" si="11"/>
        <v>0</v>
      </c>
      <c r="J123" s="30"/>
    </row>
    <row r="124" spans="1:10" x14ac:dyDescent="0.25">
      <c r="A124" s="196">
        <v>119</v>
      </c>
      <c r="B124" s="197">
        <v>0.90432000000000001</v>
      </c>
      <c r="C124" s="197">
        <v>0</v>
      </c>
      <c r="D124" s="207">
        <v>0.6</v>
      </c>
      <c r="E124" s="205">
        <v>0.90432000000000001</v>
      </c>
      <c r="F124" s="197">
        <v>0</v>
      </c>
      <c r="G124" s="207">
        <v>0.6</v>
      </c>
      <c r="H124" s="41">
        <f t="shared" si="10"/>
        <v>0.29299999999999998</v>
      </c>
      <c r="I124" s="30">
        <f t="shared" si="11"/>
        <v>0</v>
      </c>
      <c r="J124" s="30"/>
    </row>
    <row r="125" spans="1:10" x14ac:dyDescent="0.25">
      <c r="A125" s="379" t="s">
        <v>2099</v>
      </c>
      <c r="B125" s="380"/>
      <c r="C125" s="380"/>
      <c r="D125" s="380"/>
      <c r="E125" s="380"/>
      <c r="F125" s="380"/>
      <c r="G125" s="381"/>
    </row>
    <row r="126" spans="1:10" x14ac:dyDescent="0.25">
      <c r="A126" s="382" t="s">
        <v>2100</v>
      </c>
      <c r="B126" s="383"/>
      <c r="C126" s="383"/>
      <c r="D126" s="383"/>
      <c r="E126" s="383"/>
      <c r="F126" s="383"/>
      <c r="G126" s="384"/>
    </row>
  </sheetData>
  <mergeCells count="5">
    <mergeCell ref="A1:G1"/>
    <mergeCell ref="B2:D2"/>
    <mergeCell ref="E2:G2"/>
    <mergeCell ref="A125:G125"/>
    <mergeCell ref="A126:G126"/>
  </mergeCells>
  <hyperlinks>
    <hyperlink ref="B4" r:id="rId1" location="fn1" display="https://www.ssa.gov/OACT/STATS/table4c6.html - fn1" xr:uid="{88ECC38B-7ABA-45A2-9F29-ED2E884BF2F2}"/>
    <hyperlink ref="C4" r:id="rId2" location="fn2" display="https://www.ssa.gov/OACT/STATS/table4c6.html - fn2" xr:uid="{9E3F6804-AE60-4F30-A359-4F6AC7183E54}"/>
    <hyperlink ref="E4" r:id="rId3" location="fn1" display="https://www.ssa.gov/OACT/STATS/table4c6.html - fn1" xr:uid="{0969379F-BD74-40C0-B5EB-1BFAC17B58EB}"/>
    <hyperlink ref="F4" r:id="rId4" location="fn2" display="https://www.ssa.gov/OACT/STATS/table4c6.html - fn2" xr:uid="{DFBDBB21-9837-44CD-B2A8-3861118816F5}"/>
  </hyperlinks>
  <pageMargins left="0.7" right="0.7" top="0.75" bottom="0.75" header="0.3" footer="0.3"/>
  <pageSetup orientation="portrait" horizontalDpi="0" verticalDpi="0" r:id="rId5"/>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FA8F7-884D-4367-B4B8-2C204D11144A}">
  <dimension ref="A1:W39"/>
  <sheetViews>
    <sheetView workbookViewId="0">
      <selection activeCell="D29" sqref="D29"/>
    </sheetView>
  </sheetViews>
  <sheetFormatPr defaultRowHeight="15" x14ac:dyDescent="0.25"/>
  <cols>
    <col min="1" max="1" width="40" bestFit="1" customWidth="1"/>
    <col min="2" max="2" width="17.28515625" bestFit="1" customWidth="1"/>
    <col min="9" max="9" width="18.5703125" customWidth="1"/>
  </cols>
  <sheetData>
    <row r="1" spans="1:9" x14ac:dyDescent="0.25">
      <c r="I1" t="s">
        <v>1285</v>
      </c>
    </row>
    <row r="3" spans="1:9" x14ac:dyDescent="0.25">
      <c r="I3" t="s">
        <v>1286</v>
      </c>
    </row>
    <row r="4" spans="1:9" x14ac:dyDescent="0.25">
      <c r="A4" t="s">
        <v>1297</v>
      </c>
      <c r="B4" s="30">
        <v>56600000</v>
      </c>
    </row>
    <row r="5" spans="1:9" x14ac:dyDescent="0.25">
      <c r="A5" t="s">
        <v>1327</v>
      </c>
      <c r="B5" s="30">
        <f>W30</f>
        <v>98158</v>
      </c>
      <c r="I5" t="s">
        <v>1287</v>
      </c>
    </row>
    <row r="6" spans="1:9" x14ac:dyDescent="0.25">
      <c r="A6" t="s">
        <v>2136</v>
      </c>
      <c r="B6">
        <v>30</v>
      </c>
    </row>
    <row r="7" spans="1:9" x14ac:dyDescent="0.25">
      <c r="A7" t="s">
        <v>2137</v>
      </c>
      <c r="B7" s="30">
        <f>B4/30</f>
        <v>1886666.6666666667</v>
      </c>
      <c r="I7" t="s">
        <v>1290</v>
      </c>
    </row>
    <row r="8" spans="1:9" x14ac:dyDescent="0.25">
      <c r="A8" t="s">
        <v>2141</v>
      </c>
      <c r="B8" s="30">
        <v>900</v>
      </c>
    </row>
    <row r="9" spans="1:9" x14ac:dyDescent="0.25">
      <c r="A9" t="s">
        <v>2143</v>
      </c>
      <c r="B9" s="30">
        <f>B7*B8</f>
        <v>1698000000</v>
      </c>
    </row>
    <row r="11" spans="1:9" x14ac:dyDescent="0.25">
      <c r="A11" t="s">
        <v>1328</v>
      </c>
      <c r="B11" s="31">
        <f>B4/B5</f>
        <v>576.62136555349537</v>
      </c>
      <c r="I11" t="s">
        <v>1291</v>
      </c>
    </row>
    <row r="13" spans="1:9" x14ac:dyDescent="0.25">
      <c r="A13" t="s">
        <v>1329</v>
      </c>
      <c r="B13" s="59">
        <v>4800000</v>
      </c>
      <c r="D13" t="s">
        <v>1330</v>
      </c>
      <c r="I13" t="s">
        <v>1288</v>
      </c>
    </row>
    <row r="14" spans="1:9" x14ac:dyDescent="0.25">
      <c r="A14" t="s">
        <v>1335</v>
      </c>
      <c r="B14" s="31">
        <v>634</v>
      </c>
      <c r="D14" t="s">
        <v>1336</v>
      </c>
    </row>
    <row r="15" spans="1:9" x14ac:dyDescent="0.25">
      <c r="A15" t="s">
        <v>1334</v>
      </c>
      <c r="B15" s="60">
        <f>B13/35000</f>
        <v>137.14285714285714</v>
      </c>
    </row>
    <row r="16" spans="1:9" x14ac:dyDescent="0.25">
      <c r="A16" t="s">
        <v>1331</v>
      </c>
      <c r="B16" s="59">
        <f>B13/B14</f>
        <v>7570.977917981073</v>
      </c>
      <c r="I16" t="s">
        <v>1292</v>
      </c>
    </row>
    <row r="17" spans="1:23" x14ac:dyDescent="0.25">
      <c r="I17" t="s">
        <v>1293</v>
      </c>
    </row>
    <row r="18" spans="1:23" x14ac:dyDescent="0.25">
      <c r="A18" t="s">
        <v>1337</v>
      </c>
      <c r="B18" s="59">
        <f>B13*B5</f>
        <v>471158400000</v>
      </c>
      <c r="I18" t="s">
        <v>1294</v>
      </c>
    </row>
    <row r="19" spans="1:23" x14ac:dyDescent="0.25">
      <c r="A19" t="s">
        <v>1332</v>
      </c>
      <c r="B19" s="34">
        <v>0.25</v>
      </c>
      <c r="I19" t="s">
        <v>1295</v>
      </c>
    </row>
    <row r="20" spans="1:23" x14ac:dyDescent="0.25">
      <c r="A20" t="s">
        <v>1333</v>
      </c>
      <c r="B20" s="59">
        <f>B18*B19</f>
        <v>117789600000</v>
      </c>
      <c r="I20" t="s">
        <v>1296</v>
      </c>
    </row>
    <row r="22" spans="1:23" x14ac:dyDescent="0.25">
      <c r="A22" t="s">
        <v>1338</v>
      </c>
      <c r="B22" s="59">
        <f>B4*B16</f>
        <v>428517350157.72876</v>
      </c>
      <c r="I22" t="s">
        <v>1289</v>
      </c>
    </row>
    <row r="23" spans="1:23" x14ac:dyDescent="0.25">
      <c r="A23" t="s">
        <v>1332</v>
      </c>
      <c r="B23" s="34">
        <v>0.25</v>
      </c>
    </row>
    <row r="24" spans="1:23" x14ac:dyDescent="0.25">
      <c r="A24" t="s">
        <v>1333</v>
      </c>
      <c r="B24" s="59">
        <f>B22*B23</f>
        <v>107129337539.43219</v>
      </c>
      <c r="I24" t="s">
        <v>1298</v>
      </c>
    </row>
    <row r="26" spans="1:23" x14ac:dyDescent="0.25">
      <c r="I26" t="s">
        <v>1299</v>
      </c>
    </row>
    <row r="27" spans="1:23" x14ac:dyDescent="0.25">
      <c r="A27" t="s">
        <v>2138</v>
      </c>
      <c r="B27">
        <v>1</v>
      </c>
    </row>
    <row r="28" spans="1:23" x14ac:dyDescent="0.25">
      <c r="A28" t="s">
        <v>2137</v>
      </c>
      <c r="B28" s="30">
        <f>B7</f>
        <v>1886666.6666666667</v>
      </c>
      <c r="I28" t="s">
        <v>1300</v>
      </c>
    </row>
    <row r="29" spans="1:23" x14ac:dyDescent="0.25">
      <c r="A29" t="s">
        <v>2140</v>
      </c>
      <c r="B29" s="175">
        <f>E29</f>
        <v>1588.2352941176471</v>
      </c>
      <c r="C29">
        <f>17*2</f>
        <v>34</v>
      </c>
      <c r="D29" s="175">
        <v>1800</v>
      </c>
      <c r="E29" s="175">
        <f>D29*30/C29</f>
        <v>1588.2352941176471</v>
      </c>
      <c r="I29" t="s">
        <v>1301</v>
      </c>
      <c r="J29" t="s">
        <v>1302</v>
      </c>
      <c r="K29" t="s">
        <v>1303</v>
      </c>
      <c r="L29" t="s">
        <v>1304</v>
      </c>
      <c r="M29" t="s">
        <v>1305</v>
      </c>
      <c r="N29" t="s">
        <v>1306</v>
      </c>
      <c r="O29" t="s">
        <v>1307</v>
      </c>
      <c r="P29" t="s">
        <v>1308</v>
      </c>
      <c r="Q29" t="s">
        <v>1309</v>
      </c>
      <c r="R29" t="s">
        <v>1310</v>
      </c>
      <c r="S29" t="s">
        <v>1311</v>
      </c>
      <c r="T29" t="s">
        <v>1312</v>
      </c>
      <c r="U29" t="s">
        <v>1313</v>
      </c>
      <c r="V29" t="s">
        <v>1314</v>
      </c>
      <c r="W29" t="s">
        <v>1315</v>
      </c>
    </row>
    <row r="30" spans="1:23" x14ac:dyDescent="0.25">
      <c r="A30" t="s">
        <v>2139</v>
      </c>
      <c r="B30" s="59">
        <f>B28*B29</f>
        <v>2996470588.2352943</v>
      </c>
      <c r="I30" t="s">
        <v>1316</v>
      </c>
      <c r="J30" s="30">
        <v>85982</v>
      </c>
      <c r="K30" s="30">
        <v>84538</v>
      </c>
      <c r="L30" s="30">
        <v>92012</v>
      </c>
      <c r="M30" s="30">
        <v>98793</v>
      </c>
      <c r="N30" s="30">
        <v>98916</v>
      </c>
      <c r="O30" s="30">
        <v>98706</v>
      </c>
      <c r="P30" s="30">
        <v>98817</v>
      </c>
      <c r="Q30" s="30">
        <v>98817</v>
      </c>
      <c r="R30" s="30">
        <v>98328</v>
      </c>
      <c r="S30" s="30">
        <v>98454</v>
      </c>
      <c r="T30" s="30">
        <v>98271</v>
      </c>
      <c r="U30" s="30">
        <v>98176</v>
      </c>
      <c r="V30" s="30">
        <v>98277</v>
      </c>
      <c r="W30" s="30">
        <v>98158</v>
      </c>
    </row>
    <row r="31" spans="1:23" x14ac:dyDescent="0.25">
      <c r="A31" t="s">
        <v>2142</v>
      </c>
      <c r="B31" s="210">
        <f>B29/B8</f>
        <v>1.7647058823529411</v>
      </c>
      <c r="I31" t="s">
        <v>1317</v>
      </c>
      <c r="J31" s="30">
        <v>59326</v>
      </c>
      <c r="K31" s="30">
        <v>59015</v>
      </c>
      <c r="L31" s="30">
        <v>64131</v>
      </c>
      <c r="M31" s="30">
        <v>66458</v>
      </c>
      <c r="N31" s="30">
        <v>67112</v>
      </c>
      <c r="O31" s="30">
        <v>67148</v>
      </c>
      <c r="P31" s="30">
        <v>67140</v>
      </c>
      <c r="Q31" s="30">
        <v>67086</v>
      </c>
      <c r="R31" s="30">
        <v>66689</v>
      </c>
      <c r="S31" s="30">
        <v>66708</v>
      </c>
      <c r="T31" s="30">
        <v>67034</v>
      </c>
      <c r="U31" s="30">
        <v>67073</v>
      </c>
      <c r="V31" s="30">
        <v>66758</v>
      </c>
      <c r="W31" s="30">
        <v>66837</v>
      </c>
    </row>
    <row r="32" spans="1:23" x14ac:dyDescent="0.25">
      <c r="I32" t="s">
        <v>1318</v>
      </c>
      <c r="J32" s="30">
        <v>22619</v>
      </c>
      <c r="K32" s="30">
        <v>21135</v>
      </c>
      <c r="L32" s="30">
        <v>22365</v>
      </c>
      <c r="M32" s="30">
        <v>23920</v>
      </c>
      <c r="N32" s="30">
        <v>24643</v>
      </c>
      <c r="O32" s="30">
        <v>24348</v>
      </c>
      <c r="P32" s="30">
        <v>24651</v>
      </c>
      <c r="Q32" s="30">
        <v>24544</v>
      </c>
      <c r="R32" s="30">
        <v>24357</v>
      </c>
      <c r="S32" s="30">
        <v>24294</v>
      </c>
      <c r="T32" s="30">
        <v>24067</v>
      </c>
      <c r="U32" s="30">
        <v>24181</v>
      </c>
      <c r="V32" s="30">
        <v>24040</v>
      </c>
      <c r="W32" s="30">
        <v>23814</v>
      </c>
    </row>
    <row r="33" spans="9:23" x14ac:dyDescent="0.25">
      <c r="I33" t="s">
        <v>1319</v>
      </c>
      <c r="J33" s="30">
        <v>1743</v>
      </c>
      <c r="K33" s="30">
        <v>2325</v>
      </c>
      <c r="L33" s="30">
        <v>4042</v>
      </c>
      <c r="M33" s="30">
        <v>5984</v>
      </c>
      <c r="N33" s="30">
        <v>5899</v>
      </c>
      <c r="O33" s="30">
        <v>5623</v>
      </c>
      <c r="P33" s="30">
        <v>5730</v>
      </c>
      <c r="Q33" s="30">
        <v>6137</v>
      </c>
      <c r="R33" s="30">
        <v>6311</v>
      </c>
      <c r="S33" s="30">
        <v>6329</v>
      </c>
      <c r="T33" s="30">
        <v>6189</v>
      </c>
      <c r="U33" s="30">
        <v>6347</v>
      </c>
      <c r="V33" s="30">
        <v>6788</v>
      </c>
      <c r="W33" s="30">
        <v>6783</v>
      </c>
    </row>
    <row r="34" spans="9:23" x14ac:dyDescent="0.25">
      <c r="I34" t="s">
        <v>1320</v>
      </c>
      <c r="J34" s="30">
        <v>2294</v>
      </c>
      <c r="K34" s="30">
        <v>2063</v>
      </c>
      <c r="L34" s="30">
        <v>1474</v>
      </c>
      <c r="M34" s="30">
        <v>2431</v>
      </c>
      <c r="N34" s="30">
        <v>1262</v>
      </c>
      <c r="O34" s="30">
        <v>1587</v>
      </c>
      <c r="P34" s="30">
        <v>1296</v>
      </c>
      <c r="Q34" s="30">
        <v>1050</v>
      </c>
      <c r="R34">
        <v>971</v>
      </c>
      <c r="S34" s="30">
        <v>1123</v>
      </c>
      <c r="T34">
        <v>981</v>
      </c>
      <c r="U34">
        <v>575</v>
      </c>
      <c r="V34">
        <v>691</v>
      </c>
      <c r="W34">
        <v>724</v>
      </c>
    </row>
    <row r="35" spans="9:23" x14ac:dyDescent="0.25">
      <c r="I35" t="s">
        <v>1321</v>
      </c>
      <c r="J35" s="30">
        <v>20764</v>
      </c>
      <c r="K35" s="30">
        <v>24690</v>
      </c>
      <c r="L35" s="30">
        <v>32995</v>
      </c>
      <c r="M35" t="s">
        <v>1322</v>
      </c>
      <c r="N35" s="30">
        <v>33740</v>
      </c>
      <c r="O35" t="s">
        <v>1322</v>
      </c>
      <c r="P35" s="30">
        <v>33366</v>
      </c>
      <c r="Q35" t="s">
        <v>1322</v>
      </c>
      <c r="R35" s="30">
        <v>30861</v>
      </c>
      <c r="S35" t="s">
        <v>1322</v>
      </c>
      <c r="T35" s="30">
        <v>33619</v>
      </c>
      <c r="U35" t="s">
        <v>1322</v>
      </c>
      <c r="V35" s="30">
        <v>34576</v>
      </c>
      <c r="W35" t="s">
        <v>1322</v>
      </c>
    </row>
    <row r="36" spans="9:23" x14ac:dyDescent="0.25">
      <c r="I36" t="s">
        <v>1323</v>
      </c>
      <c r="J36" t="s">
        <v>1322</v>
      </c>
      <c r="K36" t="s">
        <v>1322</v>
      </c>
      <c r="L36" s="30">
        <v>6407</v>
      </c>
      <c r="M36" s="30">
        <v>6536</v>
      </c>
      <c r="N36" s="30">
        <v>6551</v>
      </c>
      <c r="O36" s="30">
        <v>6632</v>
      </c>
      <c r="P36" s="30">
        <v>6742</v>
      </c>
      <c r="Q36" s="30">
        <v>7021</v>
      </c>
      <c r="R36" s="30">
        <v>7234</v>
      </c>
      <c r="S36" s="30">
        <v>7253</v>
      </c>
      <c r="T36" s="30">
        <v>7236</v>
      </c>
      <c r="U36" s="30">
        <v>7151</v>
      </c>
      <c r="V36" s="30">
        <v>7021</v>
      </c>
      <c r="W36" s="30">
        <v>6606</v>
      </c>
    </row>
    <row r="37" spans="9:23" x14ac:dyDescent="0.25">
      <c r="I37" t="s">
        <v>1324</v>
      </c>
      <c r="J37" s="30">
        <v>3231</v>
      </c>
      <c r="K37" s="30">
        <v>3559</v>
      </c>
      <c r="L37" s="30">
        <v>4084</v>
      </c>
      <c r="M37" s="30">
        <v>4314</v>
      </c>
      <c r="N37" s="30">
        <v>4352</v>
      </c>
      <c r="O37" s="30">
        <v>4409</v>
      </c>
      <c r="P37" s="30">
        <v>4495</v>
      </c>
      <c r="Q37" s="30">
        <v>4599</v>
      </c>
      <c r="R37" s="30">
        <v>4706</v>
      </c>
      <c r="S37" s="30">
        <v>4726</v>
      </c>
      <c r="T37" s="30">
        <v>4724</v>
      </c>
      <c r="U37" s="30">
        <v>4627</v>
      </c>
      <c r="V37" s="30">
        <v>4583</v>
      </c>
      <c r="W37" s="30">
        <v>4360</v>
      </c>
    </row>
    <row r="38" spans="9:23" x14ac:dyDescent="0.25">
      <c r="I38" t="s">
        <v>1325</v>
      </c>
      <c r="J38" s="30">
        <v>1274</v>
      </c>
      <c r="K38" s="30">
        <v>1418</v>
      </c>
      <c r="L38" s="30">
        <v>1721</v>
      </c>
      <c r="M38" s="30">
        <v>1685</v>
      </c>
      <c r="N38" s="30">
        <v>1677</v>
      </c>
      <c r="O38" s="30">
        <v>1690</v>
      </c>
      <c r="P38" s="30">
        <v>1721</v>
      </c>
      <c r="Q38" s="30">
        <v>1729</v>
      </c>
      <c r="R38" s="30">
        <v>1738</v>
      </c>
      <c r="S38" s="30">
        <v>1700</v>
      </c>
      <c r="T38" s="30">
        <v>1685</v>
      </c>
      <c r="U38" s="30">
        <v>1616</v>
      </c>
      <c r="V38" s="30">
        <v>1579</v>
      </c>
      <c r="W38" s="30">
        <v>1528</v>
      </c>
    </row>
    <row r="39" spans="9:23" x14ac:dyDescent="0.25">
      <c r="I39" t="s">
        <v>1326</v>
      </c>
      <c r="J39" s="30">
        <v>1957</v>
      </c>
      <c r="K39" s="30">
        <v>2141</v>
      </c>
      <c r="L39" s="30">
        <v>2363</v>
      </c>
      <c r="M39" s="30">
        <v>2629</v>
      </c>
      <c r="N39" s="30">
        <v>2675</v>
      </c>
      <c r="O39" s="30">
        <v>2719</v>
      </c>
      <c r="P39" s="30">
        <v>2774</v>
      </c>
      <c r="Q39" s="30">
        <v>2870</v>
      </c>
      <c r="R39" s="30">
        <v>2968</v>
      </c>
      <c r="S39" s="30">
        <v>3026</v>
      </c>
      <c r="T39" s="30">
        <v>3039</v>
      </c>
      <c r="U39" s="30">
        <v>3011</v>
      </c>
      <c r="V39" s="30">
        <v>3004</v>
      </c>
      <c r="W39" s="30">
        <v>2832</v>
      </c>
    </row>
  </sheetData>
  <pageMargins left="0.7" right="0.7" top="0.75" bottom="0.75" header="0.3" footer="0.3"/>
  <pageSetup orientation="portrait" horizontalDpi="0"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C19D3-7E4A-4748-A94E-779B2FEF2447}">
  <dimension ref="A1:Q142"/>
  <sheetViews>
    <sheetView workbookViewId="0">
      <selection activeCell="A5" sqref="A5:E9"/>
    </sheetView>
  </sheetViews>
  <sheetFormatPr defaultRowHeight="15" x14ac:dyDescent="0.25"/>
  <cols>
    <col min="1" max="1" width="38" bestFit="1" customWidth="1"/>
    <col min="2" max="2" width="12.7109375" customWidth="1"/>
    <col min="3" max="3" width="12.7109375" bestFit="1" customWidth="1"/>
    <col min="4" max="4" width="2.7109375" customWidth="1"/>
    <col min="5" max="5" width="39.42578125" style="40" bestFit="1" customWidth="1"/>
    <col min="7" max="7" width="12" bestFit="1" customWidth="1"/>
    <col min="8" max="8" width="11.140625" bestFit="1" customWidth="1"/>
  </cols>
  <sheetData>
    <row r="1" spans="1:11" x14ac:dyDescent="0.25">
      <c r="A1" s="32" t="s">
        <v>538</v>
      </c>
      <c r="E1" s="32" t="s">
        <v>451</v>
      </c>
    </row>
    <row r="3" spans="1:11" x14ac:dyDescent="0.25">
      <c r="A3" s="32" t="s">
        <v>537</v>
      </c>
      <c r="D3" s="32"/>
      <c r="E3" s="40" t="s">
        <v>523</v>
      </c>
    </row>
    <row r="4" spans="1:11" x14ac:dyDescent="0.25">
      <c r="A4" s="28"/>
      <c r="B4" s="32"/>
      <c r="C4" s="32"/>
      <c r="D4" s="32"/>
      <c r="E4" s="39"/>
    </row>
    <row r="5" spans="1:11" x14ac:dyDescent="0.25">
      <c r="A5" s="32"/>
      <c r="B5" s="32" t="s">
        <v>440</v>
      </c>
      <c r="C5" s="32" t="s">
        <v>441</v>
      </c>
      <c r="D5" s="32"/>
      <c r="H5" t="s">
        <v>1500</v>
      </c>
      <c r="I5" t="s">
        <v>1501</v>
      </c>
      <c r="J5" t="s">
        <v>1502</v>
      </c>
      <c r="K5" t="s">
        <v>1503</v>
      </c>
    </row>
    <row r="6" spans="1:11" x14ac:dyDescent="0.25">
      <c r="A6" s="32"/>
      <c r="B6" s="32"/>
      <c r="C6" s="32"/>
      <c r="D6" s="32"/>
      <c r="H6" s="30">
        <f>B11</f>
        <v>200000000</v>
      </c>
      <c r="I6">
        <f>B9</f>
        <v>0.21187500000000001</v>
      </c>
      <c r="J6" s="30">
        <f>B12</f>
        <v>1000</v>
      </c>
      <c r="K6" s="30">
        <f>H6*I6/J6</f>
        <v>42375</v>
      </c>
    </row>
    <row r="7" spans="1:11" x14ac:dyDescent="0.25">
      <c r="A7" t="s">
        <v>442</v>
      </c>
      <c r="B7" s="28">
        <v>6</v>
      </c>
      <c r="C7" s="28">
        <v>4.2</v>
      </c>
      <c r="D7" s="28"/>
      <c r="E7" s="40" t="s">
        <v>452</v>
      </c>
    </row>
    <row r="8" spans="1:11" x14ac:dyDescent="0.25">
      <c r="A8" t="s">
        <v>443</v>
      </c>
      <c r="B8">
        <f>B7*61.02</f>
        <v>366.12</v>
      </c>
      <c r="C8">
        <f>C7*61.02</f>
        <v>256.28400000000005</v>
      </c>
      <c r="F8" s="161" t="s">
        <v>1504</v>
      </c>
    </row>
    <row r="9" spans="1:11" x14ac:dyDescent="0.25">
      <c r="A9" t="s">
        <v>444</v>
      </c>
      <c r="B9">
        <f>B8/(12*12*12)</f>
        <v>0.21187500000000001</v>
      </c>
      <c r="C9">
        <f>C8/(12*12*12)</f>
        <v>0.14831250000000004</v>
      </c>
      <c r="F9" s="162"/>
    </row>
    <row r="10" spans="1:11" x14ac:dyDescent="0.25">
      <c r="F10" s="160" t="s">
        <v>1681</v>
      </c>
    </row>
    <row r="11" spans="1:11" x14ac:dyDescent="0.25">
      <c r="A11" t="s">
        <v>450</v>
      </c>
      <c r="B11" s="29">
        <v>200000000</v>
      </c>
      <c r="C11" s="29">
        <f>B11</f>
        <v>200000000</v>
      </c>
      <c r="D11" s="29"/>
      <c r="E11" s="40" t="s">
        <v>506</v>
      </c>
      <c r="F11" s="160" t="s">
        <v>1682</v>
      </c>
    </row>
    <row r="12" spans="1:11" x14ac:dyDescent="0.25">
      <c r="A12" t="s">
        <v>445</v>
      </c>
      <c r="B12" s="29">
        <v>1000</v>
      </c>
      <c r="C12" s="29">
        <v>1000</v>
      </c>
      <c r="D12" s="29"/>
      <c r="E12" s="40" t="s">
        <v>452</v>
      </c>
      <c r="F12" s="160" t="s">
        <v>1683</v>
      </c>
    </row>
    <row r="13" spans="1:11" x14ac:dyDescent="0.25">
      <c r="F13" s="160" t="s">
        <v>1684</v>
      </c>
    </row>
    <row r="14" spans="1:11" x14ac:dyDescent="0.25">
      <c r="A14" t="s">
        <v>447</v>
      </c>
      <c r="B14" s="30">
        <f>B11*B9</f>
        <v>42375000</v>
      </c>
      <c r="C14" s="30">
        <f>C11*C9</f>
        <v>29662500.000000007</v>
      </c>
      <c r="D14" s="30"/>
    </row>
    <row r="15" spans="1:11" x14ac:dyDescent="0.25">
      <c r="F15" s="161" t="s">
        <v>1698</v>
      </c>
      <c r="H15" s="33" t="s">
        <v>1688</v>
      </c>
      <c r="I15" t="s">
        <v>1728</v>
      </c>
    </row>
    <row r="16" spans="1:11" x14ac:dyDescent="0.25">
      <c r="A16" t="s">
        <v>448</v>
      </c>
      <c r="B16" s="30">
        <f>B14/B12</f>
        <v>42375</v>
      </c>
      <c r="C16" s="30">
        <f>C14/C12</f>
        <v>29662.500000000007</v>
      </c>
      <c r="D16" s="30"/>
      <c r="E16" s="40" t="s">
        <v>449</v>
      </c>
      <c r="F16" s="161" t="s">
        <v>1699</v>
      </c>
      <c r="H16" s="33" t="s">
        <v>1689</v>
      </c>
      <c r="I16" t="s">
        <v>1729</v>
      </c>
    </row>
    <row r="17" spans="1:9" x14ac:dyDescent="0.25">
      <c r="A17" t="s">
        <v>453</v>
      </c>
      <c r="B17" s="28">
        <v>12</v>
      </c>
      <c r="C17" s="28">
        <v>12</v>
      </c>
      <c r="D17" s="28"/>
      <c r="E17" s="40" t="s">
        <v>452</v>
      </c>
      <c r="F17" s="28" t="s">
        <v>1700</v>
      </c>
      <c r="H17" s="33" t="s">
        <v>1690</v>
      </c>
      <c r="I17" t="s">
        <v>1730</v>
      </c>
    </row>
    <row r="18" spans="1:9" x14ac:dyDescent="0.25">
      <c r="A18" t="s">
        <v>446</v>
      </c>
      <c r="B18" s="31">
        <f>SQRT(B16/12)</f>
        <v>59.424321620023562</v>
      </c>
      <c r="C18" s="31">
        <f>SQRT(C16/12)</f>
        <v>49.717954503378358</v>
      </c>
      <c r="D18" s="31"/>
      <c r="F18" s="28" t="s">
        <v>1701</v>
      </c>
      <c r="H18" s="33" t="s">
        <v>1691</v>
      </c>
      <c r="I18" t="s">
        <v>1696</v>
      </c>
    </row>
    <row r="19" spans="1:9" x14ac:dyDescent="0.25">
      <c r="H19" s="33" t="s">
        <v>1692</v>
      </c>
      <c r="I19" t="s">
        <v>1731</v>
      </c>
    </row>
    <row r="20" spans="1:9" x14ac:dyDescent="0.25">
      <c r="A20" t="s">
        <v>502</v>
      </c>
      <c r="B20">
        <f>B12/1000</f>
        <v>1</v>
      </c>
      <c r="C20">
        <f>C12/1000</f>
        <v>1</v>
      </c>
      <c r="E20" s="40" t="s">
        <v>503</v>
      </c>
      <c r="H20" s="33" t="s">
        <v>1693</v>
      </c>
      <c r="I20" t="s">
        <v>1687</v>
      </c>
    </row>
    <row r="21" spans="1:9" x14ac:dyDescent="0.25">
      <c r="A21" t="s">
        <v>501</v>
      </c>
      <c r="B21">
        <f>B20</f>
        <v>1</v>
      </c>
      <c r="C21">
        <f>C20</f>
        <v>1</v>
      </c>
      <c r="E21" s="40" t="s">
        <v>503</v>
      </c>
      <c r="H21" s="33" t="s">
        <v>1694</v>
      </c>
      <c r="I21" t="s">
        <v>1686</v>
      </c>
    </row>
    <row r="22" spans="1:9" x14ac:dyDescent="0.25">
      <c r="A22" s="28" t="s">
        <v>510</v>
      </c>
      <c r="B22">
        <f>3600/B21</f>
        <v>3600</v>
      </c>
      <c r="C22">
        <f>C21*60*60</f>
        <v>3600</v>
      </c>
      <c r="E22" s="40" t="s">
        <v>507</v>
      </c>
      <c r="H22" s="33" t="s">
        <v>1695</v>
      </c>
      <c r="I22" t="s">
        <v>1685</v>
      </c>
    </row>
    <row r="24" spans="1:9" x14ac:dyDescent="0.25">
      <c r="A24" s="32" t="s">
        <v>526</v>
      </c>
      <c r="B24" s="32" t="s">
        <v>536</v>
      </c>
      <c r="E24" s="40" t="s">
        <v>524</v>
      </c>
    </row>
    <row r="25" spans="1:9" x14ac:dyDescent="0.25">
      <c r="A25" s="32"/>
      <c r="G25" s="28" t="s">
        <v>1725</v>
      </c>
    </row>
    <row r="26" spans="1:9" x14ac:dyDescent="0.25">
      <c r="A26" t="s">
        <v>505</v>
      </c>
      <c r="B26" s="28">
        <v>20</v>
      </c>
      <c r="C26" s="28"/>
      <c r="E26" s="40" t="s">
        <v>452</v>
      </c>
      <c r="F26" s="33">
        <f>ROW()</f>
        <v>26</v>
      </c>
      <c r="G26" t="s">
        <v>1702</v>
      </c>
    </row>
    <row r="27" spans="1:9" x14ac:dyDescent="0.25">
      <c r="A27" t="s">
        <v>517</v>
      </c>
      <c r="B27" s="28">
        <v>1</v>
      </c>
      <c r="C27" s="28"/>
      <c r="E27" s="40" t="s">
        <v>452</v>
      </c>
      <c r="F27" s="33">
        <f>ROW()</f>
        <v>27</v>
      </c>
      <c r="G27" t="s">
        <v>1703</v>
      </c>
    </row>
    <row r="28" spans="1:9" x14ac:dyDescent="0.25">
      <c r="A28" t="s">
        <v>515</v>
      </c>
      <c r="B28" s="30">
        <f>B26*B27*3600</f>
        <v>72000</v>
      </c>
      <c r="C28" s="30"/>
      <c r="F28" s="33">
        <f>ROW()</f>
        <v>28</v>
      </c>
      <c r="G28" t="s">
        <v>1704</v>
      </c>
    </row>
    <row r="29" spans="1:9" x14ac:dyDescent="0.25">
      <c r="A29" t="s">
        <v>445</v>
      </c>
      <c r="B29" s="29">
        <v>1000</v>
      </c>
      <c r="C29" s="29"/>
      <c r="E29" s="40" t="s">
        <v>452</v>
      </c>
      <c r="F29" s="33">
        <f>ROW()</f>
        <v>29</v>
      </c>
      <c r="G29" t="s">
        <v>1697</v>
      </c>
    </row>
    <row r="30" spans="1:9" x14ac:dyDescent="0.25">
      <c r="A30" t="s">
        <v>508</v>
      </c>
      <c r="B30">
        <f>B29/(B26*B27)</f>
        <v>50</v>
      </c>
      <c r="F30" s="33">
        <f>ROW()</f>
        <v>30</v>
      </c>
      <c r="G30" t="s">
        <v>1706</v>
      </c>
    </row>
    <row r="31" spans="1:9" x14ac:dyDescent="0.25">
      <c r="A31" s="28" t="s">
        <v>510</v>
      </c>
      <c r="B31">
        <f>B28/B29</f>
        <v>72</v>
      </c>
      <c r="E31" s="40" t="s">
        <v>509</v>
      </c>
      <c r="F31" s="33">
        <f>ROW()</f>
        <v>31</v>
      </c>
      <c r="G31" t="s">
        <v>1705</v>
      </c>
    </row>
    <row r="32" spans="1:9" x14ac:dyDescent="0.25">
      <c r="A32" s="28"/>
      <c r="F32" s="33"/>
    </row>
    <row r="33" spans="1:7" x14ac:dyDescent="0.25">
      <c r="G33" s="28" t="s">
        <v>1726</v>
      </c>
    </row>
    <row r="34" spans="1:7" x14ac:dyDescent="0.25">
      <c r="A34" s="14" t="s">
        <v>504</v>
      </c>
      <c r="B34" s="38">
        <v>3000</v>
      </c>
      <c r="C34" s="38"/>
      <c r="E34" s="40" t="s">
        <v>452</v>
      </c>
      <c r="F34" s="33">
        <f>ROW()</f>
        <v>34</v>
      </c>
      <c r="G34" s="160" t="s">
        <v>1713</v>
      </c>
    </row>
    <row r="35" spans="1:7" x14ac:dyDescent="0.25">
      <c r="A35" s="14" t="s">
        <v>518</v>
      </c>
      <c r="B35" s="164">
        <v>0.8</v>
      </c>
      <c r="C35" s="41"/>
      <c r="E35" s="40" t="s">
        <v>452</v>
      </c>
      <c r="F35" s="33">
        <f>ROW()</f>
        <v>35</v>
      </c>
      <c r="G35" s="160" t="s">
        <v>1707</v>
      </c>
    </row>
    <row r="36" spans="1:7" x14ac:dyDescent="0.25">
      <c r="A36" s="14" t="s">
        <v>384</v>
      </c>
      <c r="B36" s="163">
        <f>B34*B35</f>
        <v>2400</v>
      </c>
      <c r="C36" s="38"/>
      <c r="F36" s="33">
        <f>ROW()</f>
        <v>36</v>
      </c>
      <c r="G36" s="160" t="s">
        <v>1709</v>
      </c>
    </row>
    <row r="37" spans="1:7" x14ac:dyDescent="0.25">
      <c r="A37" t="s">
        <v>512</v>
      </c>
      <c r="B37" s="28">
        <v>3</v>
      </c>
      <c r="C37" s="28"/>
      <c r="E37" s="40" t="s">
        <v>452</v>
      </c>
      <c r="F37" s="33">
        <f>ROW()</f>
        <v>37</v>
      </c>
      <c r="G37" t="s">
        <v>1712</v>
      </c>
    </row>
    <row r="38" spans="1:7" x14ac:dyDescent="0.25">
      <c r="A38" t="s">
        <v>513</v>
      </c>
      <c r="B38" s="28">
        <v>6</v>
      </c>
      <c r="C38" s="28"/>
      <c r="E38" s="40" t="s">
        <v>452</v>
      </c>
      <c r="F38" s="33">
        <f>ROW()</f>
        <v>38</v>
      </c>
      <c r="G38" t="s">
        <v>1714</v>
      </c>
    </row>
    <row r="39" spans="1:7" x14ac:dyDescent="0.25">
      <c r="A39" t="s">
        <v>514</v>
      </c>
      <c r="B39">
        <f>B37*B38</f>
        <v>18</v>
      </c>
      <c r="F39" s="33">
        <f>ROW()</f>
        <v>39</v>
      </c>
      <c r="G39" t="s">
        <v>1715</v>
      </c>
    </row>
    <row r="40" spans="1:7" x14ac:dyDescent="0.25">
      <c r="A40" t="s">
        <v>515</v>
      </c>
      <c r="B40" s="30">
        <f>B36*B39</f>
        <v>43200</v>
      </c>
      <c r="C40" s="30"/>
      <c r="F40" s="33">
        <f>ROW()</f>
        <v>40</v>
      </c>
      <c r="G40" t="s">
        <v>1711</v>
      </c>
    </row>
    <row r="41" spans="1:7" x14ac:dyDescent="0.25">
      <c r="A41" t="s">
        <v>445</v>
      </c>
      <c r="B41" s="29">
        <v>1000</v>
      </c>
      <c r="C41" s="29"/>
      <c r="E41" s="40" t="s">
        <v>452</v>
      </c>
      <c r="F41" s="33">
        <f>ROW()</f>
        <v>41</v>
      </c>
      <c r="G41" t="s">
        <v>1697</v>
      </c>
    </row>
    <row r="42" spans="1:7" x14ac:dyDescent="0.25">
      <c r="A42" s="28" t="s">
        <v>516</v>
      </c>
      <c r="B42" s="31">
        <f>B40/B41</f>
        <v>43.2</v>
      </c>
      <c r="C42" s="31"/>
      <c r="E42" s="40" t="s">
        <v>511</v>
      </c>
      <c r="F42" s="33">
        <f>ROW()</f>
        <v>42</v>
      </c>
      <c r="G42" t="s">
        <v>1708</v>
      </c>
    </row>
    <row r="43" spans="1:7" x14ac:dyDescent="0.25">
      <c r="A43" s="28"/>
      <c r="B43" s="31"/>
      <c r="C43" s="31"/>
      <c r="F43" s="33"/>
    </row>
    <row r="44" spans="1:7" x14ac:dyDescent="0.25">
      <c r="G44" s="28" t="s">
        <v>1727</v>
      </c>
    </row>
    <row r="45" spans="1:7" x14ac:dyDescent="0.25">
      <c r="A45" s="14" t="s">
        <v>519</v>
      </c>
      <c r="B45" s="29">
        <v>200000000</v>
      </c>
      <c r="C45" s="29"/>
      <c r="E45" s="40" t="s">
        <v>452</v>
      </c>
      <c r="F45" s="33">
        <f>ROW()</f>
        <v>45</v>
      </c>
      <c r="G45" s="160" t="s">
        <v>1710</v>
      </c>
    </row>
    <row r="46" spans="1:7" x14ac:dyDescent="0.25">
      <c r="A46" s="14" t="s">
        <v>518</v>
      </c>
      <c r="B46" s="164">
        <v>0.8</v>
      </c>
      <c r="C46" s="41"/>
      <c r="E46" s="40" t="s">
        <v>452</v>
      </c>
      <c r="F46" s="33">
        <f>ROW()</f>
        <v>46</v>
      </c>
      <c r="G46" s="160" t="s">
        <v>1707</v>
      </c>
    </row>
    <row r="47" spans="1:7" x14ac:dyDescent="0.25">
      <c r="A47" s="14" t="s">
        <v>384</v>
      </c>
      <c r="B47" s="163">
        <f>B45*B46</f>
        <v>160000000</v>
      </c>
      <c r="C47" s="38"/>
      <c r="F47" s="33">
        <f>ROW()</f>
        <v>47</v>
      </c>
      <c r="G47" s="160" t="s">
        <v>1709</v>
      </c>
    </row>
    <row r="48" spans="1:7" x14ac:dyDescent="0.25">
      <c r="A48" t="s">
        <v>520</v>
      </c>
      <c r="B48" s="28">
        <v>1</v>
      </c>
      <c r="C48" s="28"/>
      <c r="E48" s="40" t="s">
        <v>452</v>
      </c>
      <c r="F48" s="33">
        <f>ROW()</f>
        <v>48</v>
      </c>
      <c r="G48" t="s">
        <v>1716</v>
      </c>
    </row>
    <row r="49" spans="1:7" x14ac:dyDescent="0.25">
      <c r="A49" t="s">
        <v>521</v>
      </c>
      <c r="B49" s="28">
        <v>1</v>
      </c>
      <c r="C49" s="28"/>
      <c r="E49" s="40" t="s">
        <v>452</v>
      </c>
      <c r="F49" s="33">
        <f>ROW()</f>
        <v>49</v>
      </c>
      <c r="G49" t="s">
        <v>1717</v>
      </c>
    </row>
    <row r="50" spans="1:7" x14ac:dyDescent="0.25">
      <c r="A50" t="s">
        <v>522</v>
      </c>
      <c r="B50">
        <f>B48*B49</f>
        <v>1</v>
      </c>
      <c r="F50" s="33">
        <f>ROW()</f>
        <v>50</v>
      </c>
      <c r="G50" t="s">
        <v>1718</v>
      </c>
    </row>
    <row r="51" spans="1:7" x14ac:dyDescent="0.25">
      <c r="A51" t="s">
        <v>515</v>
      </c>
      <c r="B51" s="30">
        <f>B47*B50</f>
        <v>160000000</v>
      </c>
      <c r="C51" s="30"/>
      <c r="F51" s="33">
        <f>ROW()</f>
        <v>51</v>
      </c>
      <c r="G51" t="s">
        <v>1711</v>
      </c>
    </row>
    <row r="52" spans="1:7" x14ac:dyDescent="0.25">
      <c r="A52" t="s">
        <v>445</v>
      </c>
      <c r="B52" s="29">
        <v>1000</v>
      </c>
      <c r="C52" s="29"/>
      <c r="E52" s="40" t="s">
        <v>452</v>
      </c>
      <c r="F52" s="33">
        <f>ROW()</f>
        <v>52</v>
      </c>
      <c r="G52" t="s">
        <v>1697</v>
      </c>
    </row>
    <row r="53" spans="1:7" x14ac:dyDescent="0.25">
      <c r="A53" s="28" t="s">
        <v>516</v>
      </c>
      <c r="B53" s="30">
        <f>B51/B52</f>
        <v>160000</v>
      </c>
      <c r="C53" s="30"/>
      <c r="E53" s="40" t="s">
        <v>525</v>
      </c>
      <c r="F53" s="33">
        <f>ROW()</f>
        <v>53</v>
      </c>
      <c r="G53" t="s">
        <v>1708</v>
      </c>
    </row>
    <row r="56" spans="1:7" x14ac:dyDescent="0.25">
      <c r="A56" s="32" t="s">
        <v>527</v>
      </c>
      <c r="E56" s="40" t="s">
        <v>524</v>
      </c>
      <c r="G56" s="28" t="s">
        <v>1724</v>
      </c>
    </row>
    <row r="58" spans="1:7" x14ac:dyDescent="0.25">
      <c r="A58" t="s">
        <v>531</v>
      </c>
      <c r="B58" s="28">
        <v>3</v>
      </c>
      <c r="C58" s="28"/>
      <c r="E58" s="40" t="s">
        <v>452</v>
      </c>
      <c r="F58" s="33">
        <f>ROW()</f>
        <v>58</v>
      </c>
      <c r="G58" t="s">
        <v>1716</v>
      </c>
    </row>
    <row r="59" spans="1:7" x14ac:dyDescent="0.25">
      <c r="A59" t="s">
        <v>532</v>
      </c>
      <c r="B59" s="28">
        <v>6</v>
      </c>
      <c r="C59" s="28"/>
      <c r="E59" s="40" t="s">
        <v>452</v>
      </c>
      <c r="F59" s="33">
        <f>ROW()</f>
        <v>59</v>
      </c>
      <c r="G59" t="s">
        <v>1719</v>
      </c>
    </row>
    <row r="60" spans="1:7" x14ac:dyDescent="0.25">
      <c r="A60" t="s">
        <v>837</v>
      </c>
      <c r="B60">
        <f>B58*B59</f>
        <v>18</v>
      </c>
      <c r="F60" s="33">
        <f>ROW()</f>
        <v>60</v>
      </c>
      <c r="G60" t="s">
        <v>1718</v>
      </c>
    </row>
    <row r="61" spans="1:7" x14ac:dyDescent="0.25">
      <c r="A61" t="s">
        <v>528</v>
      </c>
      <c r="B61" s="29">
        <v>3</v>
      </c>
      <c r="C61" s="29"/>
      <c r="E61" s="40" t="s">
        <v>452</v>
      </c>
      <c r="F61" s="33">
        <f>ROW()</f>
        <v>61</v>
      </c>
      <c r="G61" t="s">
        <v>1720</v>
      </c>
    </row>
    <row r="62" spans="1:7" x14ac:dyDescent="0.25">
      <c r="A62" s="28" t="s">
        <v>516</v>
      </c>
      <c r="B62" s="31">
        <f>B60*B61</f>
        <v>54</v>
      </c>
      <c r="C62" s="31"/>
      <c r="E62" s="40" t="s">
        <v>511</v>
      </c>
      <c r="F62" s="33">
        <f>ROW()</f>
        <v>62</v>
      </c>
      <c r="G62" t="s">
        <v>1723</v>
      </c>
    </row>
    <row r="63" spans="1:7" x14ac:dyDescent="0.25">
      <c r="A63" t="s">
        <v>529</v>
      </c>
      <c r="B63" s="31">
        <f>60-B62</f>
        <v>6</v>
      </c>
      <c r="C63" s="31"/>
      <c r="E63" s="40" t="s">
        <v>530</v>
      </c>
      <c r="F63" s="33">
        <f>ROW()</f>
        <v>63</v>
      </c>
      <c r="G63" t="s">
        <v>1722</v>
      </c>
    </row>
    <row r="64" spans="1:7" x14ac:dyDescent="0.25">
      <c r="A64" t="s">
        <v>540</v>
      </c>
      <c r="B64">
        <f>B63/60</f>
        <v>0.1</v>
      </c>
      <c r="E64" s="40" t="s">
        <v>533</v>
      </c>
      <c r="F64" s="33">
        <f>ROW()</f>
        <v>64</v>
      </c>
      <c r="G64" t="s">
        <v>1721</v>
      </c>
    </row>
    <row r="66" spans="1:10" x14ac:dyDescent="0.25">
      <c r="A66" s="32" t="s">
        <v>842</v>
      </c>
    </row>
    <row r="68" spans="1:10" x14ac:dyDescent="0.25">
      <c r="A68" t="s">
        <v>838</v>
      </c>
      <c r="B68" s="28">
        <v>60</v>
      </c>
      <c r="C68" s="28"/>
      <c r="G68" t="s">
        <v>1733</v>
      </c>
    </row>
    <row r="69" spans="1:10" x14ac:dyDescent="0.25">
      <c r="A69" t="s">
        <v>535</v>
      </c>
      <c r="B69">
        <f>B68*60</f>
        <v>3600</v>
      </c>
      <c r="G69" s="28" t="s">
        <v>1734</v>
      </c>
    </row>
    <row r="70" spans="1:10" x14ac:dyDescent="0.25">
      <c r="A70" t="s">
        <v>539</v>
      </c>
      <c r="B70" s="28">
        <v>100000</v>
      </c>
      <c r="G70" t="s">
        <v>1735</v>
      </c>
    </row>
    <row r="71" spans="1:10" x14ac:dyDescent="0.25">
      <c r="A71" t="s">
        <v>541</v>
      </c>
      <c r="B71">
        <v>50</v>
      </c>
      <c r="G71" s="28" t="s">
        <v>1736</v>
      </c>
    </row>
    <row r="72" spans="1:10" x14ac:dyDescent="0.25">
      <c r="A72" t="s">
        <v>543</v>
      </c>
      <c r="B72" s="28">
        <v>50</v>
      </c>
      <c r="G72" t="s">
        <v>1737</v>
      </c>
    </row>
    <row r="73" spans="1:10" x14ac:dyDescent="0.25">
      <c r="A73" t="s">
        <v>542</v>
      </c>
      <c r="B73" s="31">
        <f>B72/B71</f>
        <v>1</v>
      </c>
      <c r="G73" t="s">
        <v>1738</v>
      </c>
    </row>
    <row r="74" spans="1:10" s="2" customFormat="1" x14ac:dyDescent="0.25">
      <c r="B74" s="39" t="s">
        <v>534</v>
      </c>
      <c r="E74" s="42" t="s">
        <v>540</v>
      </c>
      <c r="G74" s="28" t="s">
        <v>1732</v>
      </c>
    </row>
    <row r="75" spans="1:10" x14ac:dyDescent="0.25">
      <c r="B75" s="31">
        <v>3600</v>
      </c>
      <c r="E75">
        <f>1-B75*$B$71/$B$69</f>
        <v>-49</v>
      </c>
      <c r="G75" s="28" t="s">
        <v>1748</v>
      </c>
    </row>
    <row r="76" spans="1:10" x14ac:dyDescent="0.25">
      <c r="B76" s="31">
        <f>B75/2</f>
        <v>1800</v>
      </c>
      <c r="E76">
        <f t="shared" ref="E76:E83" si="0">1-B76*$B$71/$B$69</f>
        <v>-24</v>
      </c>
    </row>
    <row r="77" spans="1:10" x14ac:dyDescent="0.25">
      <c r="B77" s="31">
        <f t="shared" ref="B77:B80" si="1">B76/2</f>
        <v>900</v>
      </c>
      <c r="E77">
        <f t="shared" si="0"/>
        <v>-11.5</v>
      </c>
      <c r="H77" t="s">
        <v>1739</v>
      </c>
      <c r="I77" t="s">
        <v>1741</v>
      </c>
      <c r="J77" t="s">
        <v>1743</v>
      </c>
    </row>
    <row r="78" spans="1:10" x14ac:dyDescent="0.25">
      <c r="B78" s="31">
        <f t="shared" si="1"/>
        <v>450</v>
      </c>
      <c r="E78">
        <f t="shared" si="0"/>
        <v>-5.25</v>
      </c>
      <c r="H78" t="s">
        <v>1740</v>
      </c>
      <c r="I78" t="s">
        <v>1742</v>
      </c>
      <c r="J78" t="s">
        <v>1740</v>
      </c>
    </row>
    <row r="79" spans="1:10" x14ac:dyDescent="0.25">
      <c r="B79" s="31">
        <f t="shared" si="1"/>
        <v>225</v>
      </c>
      <c r="E79">
        <f t="shared" si="0"/>
        <v>-2.125</v>
      </c>
    </row>
    <row r="80" spans="1:10" x14ac:dyDescent="0.25">
      <c r="B80" s="48">
        <f t="shared" si="1"/>
        <v>112.5</v>
      </c>
      <c r="C80" s="28"/>
      <c r="D80" s="28"/>
      <c r="E80" s="28">
        <f t="shared" si="0"/>
        <v>-0.5625</v>
      </c>
    </row>
    <row r="81" spans="1:7" x14ac:dyDescent="0.25">
      <c r="B81" s="48">
        <f t="shared" ref="B81:B84" si="2">B80/2</f>
        <v>56.25</v>
      </c>
      <c r="C81" s="28"/>
      <c r="D81" s="28"/>
      <c r="E81" s="28">
        <f t="shared" si="0"/>
        <v>0.21875</v>
      </c>
    </row>
    <row r="82" spans="1:7" x14ac:dyDescent="0.25">
      <c r="B82" s="31">
        <f t="shared" si="2"/>
        <v>28.125</v>
      </c>
      <c r="E82">
        <f t="shared" si="0"/>
        <v>0.609375</v>
      </c>
    </row>
    <row r="83" spans="1:7" x14ac:dyDescent="0.25">
      <c r="B83" s="31">
        <f t="shared" si="2"/>
        <v>14.0625</v>
      </c>
      <c r="E83">
        <f t="shared" si="0"/>
        <v>0.8046875</v>
      </c>
    </row>
    <row r="84" spans="1:7" x14ac:dyDescent="0.25">
      <c r="B84" s="31">
        <f t="shared" si="2"/>
        <v>7.03125</v>
      </c>
      <c r="E84">
        <f>1-B84*$B$71/$B$69</f>
        <v>0.90234375</v>
      </c>
    </row>
    <row r="86" spans="1:7" x14ac:dyDescent="0.25">
      <c r="A86" s="28" t="s">
        <v>839</v>
      </c>
    </row>
    <row r="87" spans="1:7" x14ac:dyDescent="0.25">
      <c r="A87" t="s">
        <v>841</v>
      </c>
      <c r="B87" s="28">
        <v>1</v>
      </c>
      <c r="G87" t="s">
        <v>1744</v>
      </c>
    </row>
    <row r="88" spans="1:7" x14ac:dyDescent="0.25">
      <c r="A88" t="s">
        <v>535</v>
      </c>
      <c r="B88">
        <f>B87*60*60</f>
        <v>3600</v>
      </c>
      <c r="G88" t="s">
        <v>1745</v>
      </c>
    </row>
    <row r="89" spans="1:7" x14ac:dyDescent="0.25">
      <c r="A89" t="s">
        <v>844</v>
      </c>
      <c r="B89" s="28">
        <v>1</v>
      </c>
      <c r="G89" t="s">
        <v>1746</v>
      </c>
    </row>
    <row r="90" spans="1:7" x14ac:dyDescent="0.25">
      <c r="A90" t="s">
        <v>840</v>
      </c>
      <c r="B90" s="39" t="s">
        <v>534</v>
      </c>
      <c r="E90" s="42" t="s">
        <v>843</v>
      </c>
    </row>
    <row r="91" spans="1:7" x14ac:dyDescent="0.25">
      <c r="B91" s="48">
        <v>3600</v>
      </c>
      <c r="E91" s="47">
        <f>($B$87/B91)/$B$89</f>
        <v>2.7777777777777778E-4</v>
      </c>
      <c r="G91" s="39" t="s">
        <v>1747</v>
      </c>
    </row>
    <row r="92" spans="1:7" x14ac:dyDescent="0.25">
      <c r="B92" s="48">
        <f>B91/2</f>
        <v>1800</v>
      </c>
      <c r="E92" s="47">
        <f t="shared" ref="E92:E104" si="3">($B$87/B92)/$B$89</f>
        <v>5.5555555555555556E-4</v>
      </c>
    </row>
    <row r="93" spans="1:7" x14ac:dyDescent="0.25">
      <c r="B93" s="48">
        <f t="shared" ref="B93:B100" si="4">B92/2</f>
        <v>900</v>
      </c>
      <c r="E93" s="47">
        <f t="shared" si="3"/>
        <v>1.1111111111111111E-3</v>
      </c>
    </row>
    <row r="94" spans="1:7" x14ac:dyDescent="0.25">
      <c r="B94" s="48">
        <f t="shared" si="4"/>
        <v>450</v>
      </c>
      <c r="E94" s="47">
        <f t="shared" si="3"/>
        <v>2.2222222222222222E-3</v>
      </c>
    </row>
    <row r="95" spans="1:7" x14ac:dyDescent="0.25">
      <c r="B95" s="48">
        <f t="shared" si="4"/>
        <v>225</v>
      </c>
      <c r="E95" s="47">
        <f t="shared" si="3"/>
        <v>4.4444444444444444E-3</v>
      </c>
    </row>
    <row r="96" spans="1:7" x14ac:dyDescent="0.25">
      <c r="B96" s="48">
        <f t="shared" si="4"/>
        <v>112.5</v>
      </c>
      <c r="E96" s="47">
        <f t="shared" si="3"/>
        <v>8.8888888888888889E-3</v>
      </c>
    </row>
    <row r="97" spans="2:17" x14ac:dyDescent="0.25">
      <c r="B97" s="48">
        <f t="shared" si="4"/>
        <v>56.25</v>
      </c>
      <c r="E97" s="47">
        <f t="shared" si="3"/>
        <v>1.7777777777777778E-2</v>
      </c>
    </row>
    <row r="98" spans="2:17" x14ac:dyDescent="0.25">
      <c r="B98" s="48">
        <f t="shared" si="4"/>
        <v>28.125</v>
      </c>
      <c r="E98" s="47">
        <f t="shared" si="3"/>
        <v>3.5555555555555556E-2</v>
      </c>
    </row>
    <row r="99" spans="2:17" x14ac:dyDescent="0.25">
      <c r="B99" s="48">
        <f t="shared" si="4"/>
        <v>14.0625</v>
      </c>
      <c r="E99" s="47">
        <f t="shared" si="3"/>
        <v>7.1111111111111111E-2</v>
      </c>
    </row>
    <row r="100" spans="2:17" x14ac:dyDescent="0.25">
      <c r="B100" s="48">
        <f t="shared" si="4"/>
        <v>7.03125</v>
      </c>
      <c r="E100" s="47">
        <f t="shared" si="3"/>
        <v>0.14222222222222222</v>
      </c>
    </row>
    <row r="101" spans="2:17" x14ac:dyDescent="0.25">
      <c r="B101" s="49">
        <v>8</v>
      </c>
      <c r="E101" s="47">
        <f t="shared" si="3"/>
        <v>0.125</v>
      </c>
    </row>
    <row r="102" spans="2:17" x14ac:dyDescent="0.25">
      <c r="B102" s="49">
        <v>4</v>
      </c>
      <c r="E102" s="47">
        <f t="shared" si="3"/>
        <v>0.25</v>
      </c>
    </row>
    <row r="103" spans="2:17" x14ac:dyDescent="0.25">
      <c r="B103" s="49">
        <v>2</v>
      </c>
      <c r="E103" s="47">
        <f t="shared" si="3"/>
        <v>0.5</v>
      </c>
    </row>
    <row r="104" spans="2:17" x14ac:dyDescent="0.25">
      <c r="B104" s="49">
        <v>1</v>
      </c>
      <c r="E104" s="47">
        <f t="shared" si="3"/>
        <v>1</v>
      </c>
    </row>
    <row r="107" spans="2:17" x14ac:dyDescent="0.25">
      <c r="F107" s="28" t="s">
        <v>853</v>
      </c>
    </row>
    <row r="108" spans="2:17" ht="60" x14ac:dyDescent="0.25">
      <c r="F108" s="2" t="s">
        <v>849</v>
      </c>
      <c r="G108" s="2" t="s">
        <v>850</v>
      </c>
      <c r="H108" s="2" t="s">
        <v>847</v>
      </c>
      <c r="I108" s="2" t="s">
        <v>851</v>
      </c>
      <c r="J108" s="2" t="s">
        <v>848</v>
      </c>
      <c r="K108" s="2" t="s">
        <v>846</v>
      </c>
      <c r="L108" s="2" t="s">
        <v>845</v>
      </c>
      <c r="M108" s="2" t="s">
        <v>854</v>
      </c>
      <c r="N108" s="2" t="s">
        <v>855</v>
      </c>
      <c r="O108" s="2" t="s">
        <v>856</v>
      </c>
      <c r="P108" s="2" t="s">
        <v>852</v>
      </c>
      <c r="Q108" s="2"/>
    </row>
    <row r="109" spans="2:17" x14ac:dyDescent="0.25">
      <c r="F109" s="31">
        <v>3600</v>
      </c>
      <c r="G109">
        <v>1</v>
      </c>
      <c r="H109" s="31">
        <f t="shared" ref="H109:H121" si="5">3600/F109</f>
        <v>1</v>
      </c>
      <c r="I109" s="31">
        <f>G109*H109</f>
        <v>1</v>
      </c>
      <c r="J109" s="46">
        <f t="shared" ref="J109:J121" si="6">H109/60</f>
        <v>1.6666666666666666E-2</v>
      </c>
      <c r="K109">
        <v>20</v>
      </c>
      <c r="L109">
        <v>1000</v>
      </c>
      <c r="M109">
        <f>(I109*K109)</f>
        <v>20</v>
      </c>
      <c r="N109">
        <f>M109*2</f>
        <v>40</v>
      </c>
      <c r="O109">
        <f>M109*3</f>
        <v>60</v>
      </c>
      <c r="P109" s="46">
        <f>L109/M109</f>
        <v>50</v>
      </c>
    </row>
    <row r="110" spans="2:17" x14ac:dyDescent="0.25">
      <c r="F110" s="31">
        <f>F109/2</f>
        <v>1800</v>
      </c>
      <c r="G110">
        <f>G109</f>
        <v>1</v>
      </c>
      <c r="H110" s="31">
        <f t="shared" si="5"/>
        <v>2</v>
      </c>
      <c r="I110" s="31">
        <f t="shared" ref="I110:I121" si="7">G110*H110</f>
        <v>2</v>
      </c>
      <c r="J110" s="46">
        <f t="shared" si="6"/>
        <v>3.3333333333333333E-2</v>
      </c>
      <c r="K110">
        <v>20</v>
      </c>
      <c r="L110">
        <f>L109</f>
        <v>1000</v>
      </c>
      <c r="M110">
        <f t="shared" ref="M110:M121" si="8">(I110*K110)</f>
        <v>40</v>
      </c>
      <c r="N110">
        <f t="shared" ref="N110:N121" si="9">M110*2</f>
        <v>80</v>
      </c>
      <c r="O110">
        <f t="shared" ref="O110:O121" si="10">M110*3</f>
        <v>120</v>
      </c>
      <c r="P110" s="46">
        <f t="shared" ref="P110:P121" si="11">L110/M110</f>
        <v>25</v>
      </c>
    </row>
    <row r="111" spans="2:17" x14ac:dyDescent="0.25">
      <c r="F111" s="31">
        <f t="shared" ref="F111:F118" si="12">F110/2</f>
        <v>900</v>
      </c>
      <c r="G111">
        <f t="shared" ref="G111:G121" si="13">G110</f>
        <v>1</v>
      </c>
      <c r="H111" s="31">
        <f t="shared" si="5"/>
        <v>4</v>
      </c>
      <c r="I111" s="31">
        <f t="shared" si="7"/>
        <v>4</v>
      </c>
      <c r="J111" s="46">
        <f t="shared" si="6"/>
        <v>6.6666666666666666E-2</v>
      </c>
      <c r="K111">
        <v>20</v>
      </c>
      <c r="L111">
        <f t="shared" ref="L111:L121" si="14">L110</f>
        <v>1000</v>
      </c>
      <c r="M111">
        <f t="shared" si="8"/>
        <v>80</v>
      </c>
      <c r="N111">
        <f t="shared" si="9"/>
        <v>160</v>
      </c>
      <c r="O111">
        <f t="shared" si="10"/>
        <v>240</v>
      </c>
      <c r="P111" s="46">
        <f t="shared" si="11"/>
        <v>12.5</v>
      </c>
    </row>
    <row r="112" spans="2:17" x14ac:dyDescent="0.25">
      <c r="F112" s="31">
        <f t="shared" si="12"/>
        <v>450</v>
      </c>
      <c r="G112">
        <f t="shared" si="13"/>
        <v>1</v>
      </c>
      <c r="H112" s="31">
        <f t="shared" si="5"/>
        <v>8</v>
      </c>
      <c r="I112" s="31">
        <f t="shared" si="7"/>
        <v>8</v>
      </c>
      <c r="J112" s="46">
        <f t="shared" si="6"/>
        <v>0.13333333333333333</v>
      </c>
      <c r="K112">
        <v>20</v>
      </c>
      <c r="L112">
        <f t="shared" si="14"/>
        <v>1000</v>
      </c>
      <c r="M112">
        <f t="shared" si="8"/>
        <v>160</v>
      </c>
      <c r="N112">
        <f t="shared" si="9"/>
        <v>320</v>
      </c>
      <c r="O112">
        <f t="shared" si="10"/>
        <v>480</v>
      </c>
      <c r="P112" s="46">
        <f t="shared" si="11"/>
        <v>6.25</v>
      </c>
    </row>
    <row r="113" spans="6:16" x14ac:dyDescent="0.25">
      <c r="F113" s="48">
        <f t="shared" si="12"/>
        <v>225</v>
      </c>
      <c r="G113">
        <f t="shared" si="13"/>
        <v>1</v>
      </c>
      <c r="H113" s="31">
        <f t="shared" si="5"/>
        <v>16</v>
      </c>
      <c r="I113" s="31">
        <f t="shared" si="7"/>
        <v>16</v>
      </c>
      <c r="J113" s="46">
        <f t="shared" si="6"/>
        <v>0.26666666666666666</v>
      </c>
      <c r="K113">
        <v>20</v>
      </c>
      <c r="L113">
        <f t="shared" si="14"/>
        <v>1000</v>
      </c>
      <c r="M113">
        <f t="shared" si="8"/>
        <v>320</v>
      </c>
      <c r="N113" s="28">
        <f t="shared" si="9"/>
        <v>640</v>
      </c>
      <c r="O113" s="28">
        <f t="shared" si="10"/>
        <v>960</v>
      </c>
      <c r="P113" s="46">
        <f t="shared" si="11"/>
        <v>3.125</v>
      </c>
    </row>
    <row r="114" spans="6:16" x14ac:dyDescent="0.25">
      <c r="F114" s="48">
        <f t="shared" si="12"/>
        <v>112.5</v>
      </c>
      <c r="G114" s="28">
        <f t="shared" si="13"/>
        <v>1</v>
      </c>
      <c r="H114" s="48">
        <f t="shared" si="5"/>
        <v>32</v>
      </c>
      <c r="I114" s="48">
        <f t="shared" si="7"/>
        <v>32</v>
      </c>
      <c r="J114" s="49">
        <f t="shared" si="6"/>
        <v>0.53333333333333333</v>
      </c>
      <c r="K114" s="28">
        <v>20</v>
      </c>
      <c r="L114" s="28">
        <f t="shared" si="14"/>
        <v>1000</v>
      </c>
      <c r="M114" s="28">
        <f t="shared" si="8"/>
        <v>640</v>
      </c>
      <c r="N114" s="28">
        <f t="shared" si="9"/>
        <v>1280</v>
      </c>
      <c r="O114">
        <f t="shared" si="10"/>
        <v>1920</v>
      </c>
      <c r="P114" s="46">
        <f t="shared" si="11"/>
        <v>1.5625</v>
      </c>
    </row>
    <row r="115" spans="6:16" x14ac:dyDescent="0.25">
      <c r="F115" s="48">
        <f t="shared" si="12"/>
        <v>56.25</v>
      </c>
      <c r="G115" s="28">
        <f t="shared" si="13"/>
        <v>1</v>
      </c>
      <c r="H115" s="48">
        <f t="shared" si="5"/>
        <v>64</v>
      </c>
      <c r="I115" s="48">
        <f t="shared" si="7"/>
        <v>64</v>
      </c>
      <c r="J115" s="49">
        <f t="shared" si="6"/>
        <v>1.0666666666666667</v>
      </c>
      <c r="K115" s="28">
        <v>20</v>
      </c>
      <c r="L115" s="28">
        <f t="shared" si="14"/>
        <v>1000</v>
      </c>
      <c r="M115" s="28">
        <f t="shared" si="8"/>
        <v>1280</v>
      </c>
      <c r="N115">
        <f t="shared" si="9"/>
        <v>2560</v>
      </c>
      <c r="O115">
        <f t="shared" si="10"/>
        <v>3840</v>
      </c>
      <c r="P115" s="46">
        <f t="shared" si="11"/>
        <v>0.78125</v>
      </c>
    </row>
    <row r="116" spans="6:16" x14ac:dyDescent="0.25">
      <c r="F116" s="31">
        <f t="shared" si="12"/>
        <v>28.125</v>
      </c>
      <c r="G116">
        <f t="shared" si="13"/>
        <v>1</v>
      </c>
      <c r="H116" s="31">
        <f t="shared" si="5"/>
        <v>128</v>
      </c>
      <c r="I116" s="31">
        <f t="shared" si="7"/>
        <v>128</v>
      </c>
      <c r="J116" s="46">
        <f t="shared" si="6"/>
        <v>2.1333333333333333</v>
      </c>
      <c r="K116">
        <v>20</v>
      </c>
      <c r="L116">
        <f t="shared" si="14"/>
        <v>1000</v>
      </c>
      <c r="M116">
        <f t="shared" si="8"/>
        <v>2560</v>
      </c>
      <c r="N116">
        <f t="shared" si="9"/>
        <v>5120</v>
      </c>
      <c r="O116">
        <f t="shared" si="10"/>
        <v>7680</v>
      </c>
      <c r="P116" s="46">
        <f t="shared" si="11"/>
        <v>0.390625</v>
      </c>
    </row>
    <row r="117" spans="6:16" x14ac:dyDescent="0.25">
      <c r="F117" s="31">
        <f t="shared" si="12"/>
        <v>14.0625</v>
      </c>
      <c r="G117">
        <f t="shared" si="13"/>
        <v>1</v>
      </c>
      <c r="H117" s="31">
        <f t="shared" si="5"/>
        <v>256</v>
      </c>
      <c r="I117" s="31">
        <f t="shared" si="7"/>
        <v>256</v>
      </c>
      <c r="J117" s="46">
        <f t="shared" si="6"/>
        <v>4.2666666666666666</v>
      </c>
      <c r="K117">
        <v>20</v>
      </c>
      <c r="L117">
        <f t="shared" si="14"/>
        <v>1000</v>
      </c>
      <c r="M117">
        <f t="shared" si="8"/>
        <v>5120</v>
      </c>
      <c r="N117">
        <f t="shared" si="9"/>
        <v>10240</v>
      </c>
      <c r="O117">
        <f t="shared" si="10"/>
        <v>15360</v>
      </c>
      <c r="P117" s="46">
        <f t="shared" si="11"/>
        <v>0.1953125</v>
      </c>
    </row>
    <row r="118" spans="6:16" x14ac:dyDescent="0.25">
      <c r="F118" s="31">
        <f t="shared" si="12"/>
        <v>7.03125</v>
      </c>
      <c r="G118">
        <f t="shared" si="13"/>
        <v>1</v>
      </c>
      <c r="H118" s="31">
        <f t="shared" si="5"/>
        <v>512</v>
      </c>
      <c r="I118" s="31">
        <f t="shared" si="7"/>
        <v>512</v>
      </c>
      <c r="J118" s="46">
        <f t="shared" si="6"/>
        <v>8.5333333333333332</v>
      </c>
      <c r="K118">
        <v>20</v>
      </c>
      <c r="L118">
        <f t="shared" si="14"/>
        <v>1000</v>
      </c>
      <c r="M118">
        <f t="shared" si="8"/>
        <v>10240</v>
      </c>
      <c r="N118">
        <f t="shared" si="9"/>
        <v>20480</v>
      </c>
      <c r="O118">
        <f t="shared" si="10"/>
        <v>30720</v>
      </c>
      <c r="P118" s="46">
        <f t="shared" si="11"/>
        <v>9.765625E-2</v>
      </c>
    </row>
    <row r="119" spans="6:16" x14ac:dyDescent="0.25">
      <c r="F119" s="31">
        <v>4</v>
      </c>
      <c r="G119">
        <f t="shared" si="13"/>
        <v>1</v>
      </c>
      <c r="H119" s="31">
        <f t="shared" si="5"/>
        <v>900</v>
      </c>
      <c r="I119" s="31">
        <f t="shared" si="7"/>
        <v>900</v>
      </c>
      <c r="J119" s="46">
        <f t="shared" si="6"/>
        <v>15</v>
      </c>
      <c r="K119">
        <v>20</v>
      </c>
      <c r="L119">
        <f t="shared" si="14"/>
        <v>1000</v>
      </c>
      <c r="M119">
        <f t="shared" si="8"/>
        <v>18000</v>
      </c>
      <c r="N119">
        <f t="shared" si="9"/>
        <v>36000</v>
      </c>
      <c r="O119">
        <f t="shared" si="10"/>
        <v>54000</v>
      </c>
      <c r="P119" s="46">
        <f t="shared" si="11"/>
        <v>5.5555555555555552E-2</v>
      </c>
    </row>
    <row r="120" spans="6:16" x14ac:dyDescent="0.25">
      <c r="F120" s="31">
        <v>2</v>
      </c>
      <c r="G120">
        <f t="shared" si="13"/>
        <v>1</v>
      </c>
      <c r="H120" s="31">
        <f t="shared" si="5"/>
        <v>1800</v>
      </c>
      <c r="I120" s="31">
        <f t="shared" si="7"/>
        <v>1800</v>
      </c>
      <c r="J120" s="46">
        <f t="shared" si="6"/>
        <v>30</v>
      </c>
      <c r="K120">
        <v>20</v>
      </c>
      <c r="L120">
        <f t="shared" si="14"/>
        <v>1000</v>
      </c>
      <c r="M120">
        <f t="shared" si="8"/>
        <v>36000</v>
      </c>
      <c r="N120">
        <f t="shared" si="9"/>
        <v>72000</v>
      </c>
      <c r="O120">
        <f t="shared" si="10"/>
        <v>108000</v>
      </c>
      <c r="P120" s="46">
        <f t="shared" si="11"/>
        <v>2.7777777777777776E-2</v>
      </c>
    </row>
    <row r="121" spans="6:16" x14ac:dyDescent="0.25">
      <c r="F121" s="31">
        <v>1</v>
      </c>
      <c r="G121">
        <f t="shared" si="13"/>
        <v>1</v>
      </c>
      <c r="H121" s="31">
        <f t="shared" si="5"/>
        <v>3600</v>
      </c>
      <c r="I121" s="31">
        <f t="shared" si="7"/>
        <v>3600</v>
      </c>
      <c r="J121" s="46">
        <f t="shared" si="6"/>
        <v>60</v>
      </c>
      <c r="K121">
        <v>20</v>
      </c>
      <c r="L121">
        <f t="shared" si="14"/>
        <v>1000</v>
      </c>
      <c r="M121">
        <f t="shared" si="8"/>
        <v>72000</v>
      </c>
      <c r="N121">
        <f t="shared" si="9"/>
        <v>144000</v>
      </c>
      <c r="O121">
        <f t="shared" si="10"/>
        <v>216000</v>
      </c>
      <c r="P121" s="46">
        <f t="shared" si="11"/>
        <v>1.3888888888888888E-2</v>
      </c>
    </row>
    <row r="122" spans="6:16" x14ac:dyDescent="0.25">
      <c r="F122" s="31"/>
      <c r="G122" s="31"/>
      <c r="J122" s="31"/>
    </row>
    <row r="123" spans="6:16" x14ac:dyDescent="0.25">
      <c r="F123" s="31"/>
      <c r="G123" s="31"/>
      <c r="I123" s="161" t="s">
        <v>1666</v>
      </c>
      <c r="J123" s="31"/>
    </row>
    <row r="125" spans="6:16" x14ac:dyDescent="0.25">
      <c r="G125" s="2"/>
      <c r="H125" s="2"/>
      <c r="I125" s="160" t="s">
        <v>1667</v>
      </c>
      <c r="J125" s="2"/>
      <c r="K125" s="2"/>
      <c r="L125" s="2"/>
      <c r="M125" s="2"/>
      <c r="N125" s="2"/>
      <c r="O125" s="2"/>
    </row>
    <row r="126" spans="6:16" x14ac:dyDescent="0.25">
      <c r="G126" s="31"/>
      <c r="I126" s="160" t="s">
        <v>1668</v>
      </c>
      <c r="K126" s="31"/>
    </row>
    <row r="127" spans="6:16" x14ac:dyDescent="0.25">
      <c r="G127" s="31"/>
      <c r="I127" s="160" t="s">
        <v>1668</v>
      </c>
      <c r="K127" s="31"/>
    </row>
    <row r="128" spans="6:16" x14ac:dyDescent="0.25">
      <c r="G128" s="31"/>
      <c r="I128" s="160" t="s">
        <v>1669</v>
      </c>
      <c r="K128" s="31"/>
    </row>
    <row r="129" spans="1:11" x14ac:dyDescent="0.25">
      <c r="G129" s="31"/>
      <c r="I129" s="160" t="s">
        <v>1666</v>
      </c>
      <c r="K129" s="31"/>
    </row>
    <row r="130" spans="1:11" ht="30" customHeight="1" x14ac:dyDescent="0.25">
      <c r="G130" s="31"/>
      <c r="K130" s="31"/>
    </row>
    <row r="131" spans="1:11" x14ac:dyDescent="0.25">
      <c r="G131" s="31"/>
      <c r="I131" s="160" t="s">
        <v>1670</v>
      </c>
      <c r="K131" s="31"/>
    </row>
    <row r="132" spans="1:11" x14ac:dyDescent="0.25">
      <c r="G132" s="31"/>
      <c r="I132" s="160" t="s">
        <v>1671</v>
      </c>
      <c r="K132" s="31"/>
    </row>
    <row r="133" spans="1:11" x14ac:dyDescent="0.25">
      <c r="G133" s="31"/>
      <c r="I133" s="160" t="s">
        <v>1672</v>
      </c>
      <c r="K133" s="31"/>
    </row>
    <row r="134" spans="1:11" x14ac:dyDescent="0.25">
      <c r="G134" s="31"/>
      <c r="I134" s="160" t="s">
        <v>1673</v>
      </c>
      <c r="K134" s="31"/>
    </row>
    <row r="135" spans="1:11" x14ac:dyDescent="0.25">
      <c r="G135" s="31"/>
      <c r="I135" s="160" t="s">
        <v>1674</v>
      </c>
      <c r="K135" s="31"/>
    </row>
    <row r="136" spans="1:11" x14ac:dyDescent="0.25">
      <c r="G136" s="31"/>
      <c r="I136" s="160" t="s">
        <v>1675</v>
      </c>
      <c r="K136" s="31"/>
    </row>
    <row r="137" spans="1:11" x14ac:dyDescent="0.25">
      <c r="G137" s="31"/>
      <c r="I137" s="160" t="s">
        <v>1676</v>
      </c>
      <c r="K137" s="31"/>
    </row>
    <row r="138" spans="1:11" x14ac:dyDescent="0.25">
      <c r="G138" s="31"/>
      <c r="I138" s="160" t="s">
        <v>1677</v>
      </c>
      <c r="K138" s="31"/>
    </row>
    <row r="139" spans="1:11" x14ac:dyDescent="0.25">
      <c r="I139" s="160" t="s">
        <v>1678</v>
      </c>
    </row>
    <row r="140" spans="1:11" x14ac:dyDescent="0.25">
      <c r="I140" s="160" t="s">
        <v>1679</v>
      </c>
    </row>
    <row r="141" spans="1:11" x14ac:dyDescent="0.25">
      <c r="I141" s="160" t="s">
        <v>1680</v>
      </c>
    </row>
    <row r="142" spans="1:11" x14ac:dyDescent="0.25">
      <c r="A142" s="40" t="s">
        <v>873</v>
      </c>
    </row>
  </sheetData>
  <pageMargins left="0.7" right="0.7" top="0.75" bottom="0.75" header="0.3" footer="0.3"/>
  <pageSetup orientation="portrait" horizontalDpi="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61E52-B350-4B3F-B402-7F8B7C4513AC}">
  <dimension ref="A2:N136"/>
  <sheetViews>
    <sheetView topLeftCell="A77" workbookViewId="0">
      <selection activeCell="F81" sqref="F81"/>
    </sheetView>
  </sheetViews>
  <sheetFormatPr defaultRowHeight="15.75" x14ac:dyDescent="0.25"/>
  <cols>
    <col min="1" max="1" width="3.28515625" style="11" bestFit="1" customWidth="1"/>
    <col min="2" max="2" width="12.42578125" style="11" bestFit="1" customWidth="1"/>
    <col min="3" max="3" width="9.7109375" style="11" bestFit="1" customWidth="1"/>
    <col min="4" max="4" width="11" style="11" customWidth="1"/>
    <col min="5" max="5" width="14.42578125" style="11" customWidth="1"/>
    <col min="6" max="6" width="12" style="11" bestFit="1" customWidth="1"/>
    <col min="7" max="7" width="15.7109375" style="11" bestFit="1" customWidth="1"/>
    <col min="8" max="8" width="11.42578125" style="11" bestFit="1" customWidth="1"/>
    <col min="9" max="9" width="27" style="11" bestFit="1" customWidth="1"/>
    <col min="10" max="10" width="27.28515625" style="11" customWidth="1"/>
    <col min="11" max="11" width="37.85546875" style="11" customWidth="1"/>
    <col min="12" max="16384" width="9.140625" style="11"/>
  </cols>
  <sheetData>
    <row r="2" spans="1:12" x14ac:dyDescent="0.25">
      <c r="J2" s="11" t="s">
        <v>1339</v>
      </c>
    </row>
    <row r="3" spans="1:12" x14ac:dyDescent="0.25">
      <c r="A3" s="63" t="s">
        <v>244</v>
      </c>
      <c r="B3" s="63" t="s">
        <v>1350</v>
      </c>
      <c r="C3" s="63" t="s">
        <v>1352</v>
      </c>
      <c r="D3" s="63" t="s">
        <v>1352</v>
      </c>
      <c r="E3" s="63" t="s">
        <v>1351</v>
      </c>
      <c r="F3" s="63" t="s">
        <v>1349</v>
      </c>
      <c r="J3" s="11" t="s">
        <v>1348</v>
      </c>
    </row>
    <row r="4" spans="1:12" ht="47.25" x14ac:dyDescent="0.25">
      <c r="A4" s="63" t="s">
        <v>244</v>
      </c>
      <c r="B4" s="62" t="s">
        <v>1359</v>
      </c>
      <c r="C4" s="62" t="s">
        <v>1358</v>
      </c>
      <c r="D4" s="62" t="s">
        <v>1361</v>
      </c>
      <c r="E4" s="62" t="s">
        <v>1357</v>
      </c>
      <c r="F4" s="62" t="s">
        <v>1360</v>
      </c>
      <c r="G4" s="62" t="s">
        <v>1368</v>
      </c>
      <c r="H4" s="113" t="s">
        <v>1641</v>
      </c>
      <c r="I4" s="62"/>
      <c r="J4" s="11" t="s">
        <v>1347</v>
      </c>
    </row>
    <row r="5" spans="1:12" x14ac:dyDescent="0.25">
      <c r="A5" s="11">
        <v>30</v>
      </c>
      <c r="B5" s="11">
        <f t="shared" ref="B5:B19" si="0">20*60</f>
        <v>1200</v>
      </c>
      <c r="C5" s="11">
        <v>1</v>
      </c>
      <c r="D5" s="11">
        <f t="shared" ref="D5:D6" si="1">C5*5280/60</f>
        <v>88</v>
      </c>
      <c r="E5" s="11">
        <v>0.5</v>
      </c>
      <c r="F5" s="64">
        <f t="shared" ref="F5:F6" si="2">A5*B5/(D5*E5*E5)</f>
        <v>1636.3636363636363</v>
      </c>
      <c r="G5" s="65">
        <f t="shared" ref="G5:G6" si="3">B5/F5</f>
        <v>0.73333333333333339</v>
      </c>
      <c r="H5" s="65">
        <f>-G$7/G5</f>
        <v>-144</v>
      </c>
      <c r="I5" s="65" t="s">
        <v>1631</v>
      </c>
      <c r="J5" s="11" t="s">
        <v>1370</v>
      </c>
    </row>
    <row r="6" spans="1:12" x14ac:dyDescent="0.25">
      <c r="A6" s="11">
        <v>30</v>
      </c>
      <c r="B6" s="11">
        <f t="shared" si="0"/>
        <v>1200</v>
      </c>
      <c r="C6" s="11">
        <v>1</v>
      </c>
      <c r="D6" s="11">
        <f t="shared" si="1"/>
        <v>88</v>
      </c>
      <c r="E6" s="11">
        <v>1</v>
      </c>
      <c r="F6" s="64">
        <f t="shared" si="2"/>
        <v>409.09090909090907</v>
      </c>
      <c r="G6" s="65">
        <f t="shared" si="3"/>
        <v>2.9333333333333336</v>
      </c>
      <c r="H6" s="65">
        <f>-G$7/G6</f>
        <v>-36</v>
      </c>
      <c r="I6" s="65" t="s">
        <v>1631</v>
      </c>
      <c r="J6" s="11" t="s">
        <v>1340</v>
      </c>
    </row>
    <row r="7" spans="1:12" x14ac:dyDescent="0.25">
      <c r="A7" s="11">
        <v>30</v>
      </c>
      <c r="B7" s="11">
        <f>20*60</f>
        <v>1200</v>
      </c>
      <c r="C7" s="11">
        <v>1</v>
      </c>
      <c r="D7" s="11">
        <f>C7*5280/60</f>
        <v>88</v>
      </c>
      <c r="E7" s="11">
        <v>6</v>
      </c>
      <c r="F7" s="64">
        <f t="shared" ref="F7:F14" si="4">A7*B7/(D7*E7*E7)</f>
        <v>11.363636363636363</v>
      </c>
      <c r="G7" s="65">
        <f>B7/F7</f>
        <v>105.60000000000001</v>
      </c>
      <c r="H7" s="65">
        <f>G7/G$7</f>
        <v>1</v>
      </c>
      <c r="I7" s="11" t="s">
        <v>1638</v>
      </c>
    </row>
    <row r="8" spans="1:12" x14ac:dyDescent="0.25">
      <c r="A8" s="11">
        <v>30</v>
      </c>
      <c r="B8" s="11">
        <f>B7</f>
        <v>1200</v>
      </c>
      <c r="C8" s="11">
        <v>1</v>
      </c>
      <c r="D8" s="11">
        <f t="shared" ref="D8:D14" si="5">C8*5280/60</f>
        <v>88</v>
      </c>
      <c r="E8" s="11">
        <f>E7+10</f>
        <v>16</v>
      </c>
      <c r="F8" s="64">
        <f t="shared" si="4"/>
        <v>1.5980113636363635</v>
      </c>
      <c r="G8" s="65">
        <f t="shared" ref="G8:G14" si="6">B8/F8</f>
        <v>750.93333333333339</v>
      </c>
      <c r="H8" s="65">
        <f>G8/G$7</f>
        <v>7.1111111111111107</v>
      </c>
      <c r="I8" s="65" t="s">
        <v>1630</v>
      </c>
      <c r="J8" s="11" t="s">
        <v>1354</v>
      </c>
      <c r="L8" s="11" t="s">
        <v>1341</v>
      </c>
    </row>
    <row r="9" spans="1:12" x14ac:dyDescent="0.25">
      <c r="A9" s="11">
        <v>30</v>
      </c>
      <c r="B9" s="11">
        <f t="shared" ref="B9:B14" si="7">B8</f>
        <v>1200</v>
      </c>
      <c r="C9" s="11">
        <f t="shared" ref="C9:C14" si="8">C8</f>
        <v>1</v>
      </c>
      <c r="D9" s="11">
        <f t="shared" si="5"/>
        <v>88</v>
      </c>
      <c r="E9" s="11">
        <f t="shared" ref="E9:E14" si="9">E8+10</f>
        <v>26</v>
      </c>
      <c r="F9" s="64">
        <f t="shared" si="4"/>
        <v>0.6051640667025282</v>
      </c>
      <c r="G9" s="65">
        <f t="shared" si="6"/>
        <v>1982.9333333333334</v>
      </c>
      <c r="H9" s="65">
        <f t="shared" ref="H9:H14" si="10">G9/G$7</f>
        <v>18.777777777777779</v>
      </c>
      <c r="I9" s="65" t="s">
        <v>1630</v>
      </c>
      <c r="J9" s="11" t="s">
        <v>1353</v>
      </c>
      <c r="L9" s="11" t="s">
        <v>1342</v>
      </c>
    </row>
    <row r="10" spans="1:12" x14ac:dyDescent="0.25">
      <c r="A10" s="11">
        <v>30</v>
      </c>
      <c r="B10" s="11">
        <f t="shared" si="7"/>
        <v>1200</v>
      </c>
      <c r="C10" s="11">
        <f t="shared" si="8"/>
        <v>1</v>
      </c>
      <c r="D10" s="11">
        <f t="shared" si="5"/>
        <v>88</v>
      </c>
      <c r="E10" s="11">
        <f t="shared" si="9"/>
        <v>36</v>
      </c>
      <c r="F10" s="64">
        <f t="shared" si="4"/>
        <v>0.31565656565656564</v>
      </c>
      <c r="G10" s="65">
        <f t="shared" si="6"/>
        <v>3801.6000000000004</v>
      </c>
      <c r="H10" s="65">
        <f t="shared" si="10"/>
        <v>36</v>
      </c>
      <c r="I10" s="65" t="s">
        <v>1630</v>
      </c>
      <c r="J10" s="11" t="s">
        <v>1355</v>
      </c>
      <c r="L10" s="11" t="s">
        <v>1343</v>
      </c>
    </row>
    <row r="11" spans="1:12" x14ac:dyDescent="0.25">
      <c r="A11" s="11">
        <v>30</v>
      </c>
      <c r="B11" s="11">
        <f t="shared" si="7"/>
        <v>1200</v>
      </c>
      <c r="C11" s="11">
        <f t="shared" si="8"/>
        <v>1</v>
      </c>
      <c r="D11" s="11">
        <f t="shared" si="5"/>
        <v>88</v>
      </c>
      <c r="E11" s="11">
        <f t="shared" si="9"/>
        <v>46</v>
      </c>
      <c r="F11" s="64">
        <f t="shared" si="4"/>
        <v>0.19333218766111016</v>
      </c>
      <c r="G11" s="65">
        <f t="shared" si="6"/>
        <v>6206.9333333333334</v>
      </c>
      <c r="H11" s="65">
        <f t="shared" si="10"/>
        <v>58.777777777777771</v>
      </c>
      <c r="I11" s="65" t="s">
        <v>1630</v>
      </c>
      <c r="J11" s="11" t="s">
        <v>1356</v>
      </c>
      <c r="L11" s="11" t="s">
        <v>1344</v>
      </c>
    </row>
    <row r="12" spans="1:12" x14ac:dyDescent="0.25">
      <c r="A12" s="11">
        <v>30</v>
      </c>
      <c r="B12" s="11">
        <f t="shared" si="7"/>
        <v>1200</v>
      </c>
      <c r="C12" s="11">
        <f t="shared" si="8"/>
        <v>1</v>
      </c>
      <c r="D12" s="11">
        <f t="shared" si="5"/>
        <v>88</v>
      </c>
      <c r="E12" s="11">
        <f t="shared" si="9"/>
        <v>56</v>
      </c>
      <c r="F12" s="64">
        <f t="shared" si="4"/>
        <v>0.13044990723562153</v>
      </c>
      <c r="G12" s="65">
        <f t="shared" si="6"/>
        <v>9198.9333333333325</v>
      </c>
      <c r="H12" s="65">
        <f t="shared" si="10"/>
        <v>87.1111111111111</v>
      </c>
      <c r="I12" s="65" t="s">
        <v>1630</v>
      </c>
      <c r="L12" s="11" t="s">
        <v>1375</v>
      </c>
    </row>
    <row r="13" spans="1:12" x14ac:dyDescent="0.25">
      <c r="A13" s="11">
        <v>30</v>
      </c>
      <c r="B13" s="11">
        <f t="shared" si="7"/>
        <v>1200</v>
      </c>
      <c r="C13" s="11">
        <f t="shared" si="8"/>
        <v>1</v>
      </c>
      <c r="D13" s="11">
        <f t="shared" si="5"/>
        <v>88</v>
      </c>
      <c r="E13" s="11">
        <f t="shared" si="9"/>
        <v>66</v>
      </c>
      <c r="F13" s="64">
        <f t="shared" si="4"/>
        <v>9.391435011269722E-2</v>
      </c>
      <c r="G13" s="65">
        <f t="shared" si="6"/>
        <v>12777.6</v>
      </c>
      <c r="H13" s="65">
        <f t="shared" si="10"/>
        <v>121</v>
      </c>
      <c r="I13" s="65" t="s">
        <v>1630</v>
      </c>
      <c r="L13" s="11" t="s">
        <v>1376</v>
      </c>
    </row>
    <row r="14" spans="1:12" x14ac:dyDescent="0.25">
      <c r="A14" s="11">
        <v>30</v>
      </c>
      <c r="B14" s="11">
        <f t="shared" si="7"/>
        <v>1200</v>
      </c>
      <c r="C14" s="11">
        <f t="shared" si="8"/>
        <v>1</v>
      </c>
      <c r="D14" s="11">
        <f t="shared" si="5"/>
        <v>88</v>
      </c>
      <c r="E14" s="11">
        <f t="shared" si="9"/>
        <v>76</v>
      </c>
      <c r="F14" s="64">
        <f t="shared" si="4"/>
        <v>7.0825988416016117E-2</v>
      </c>
      <c r="G14" s="65">
        <f t="shared" si="6"/>
        <v>16942.933333333334</v>
      </c>
      <c r="H14" s="65">
        <f t="shared" si="10"/>
        <v>160.44444444444443</v>
      </c>
      <c r="I14" s="65" t="s">
        <v>1630</v>
      </c>
    </row>
    <row r="15" spans="1:12" x14ac:dyDescent="0.25">
      <c r="F15" s="64"/>
      <c r="G15" s="65"/>
      <c r="H15" s="65"/>
      <c r="I15" s="65"/>
    </row>
    <row r="16" spans="1:12" x14ac:dyDescent="0.25">
      <c r="A16" s="11">
        <v>30</v>
      </c>
      <c r="B16" s="11">
        <f t="shared" ref="B16:B17" si="11">20*60</f>
        <v>1200</v>
      </c>
      <c r="C16" s="11">
        <v>0.25</v>
      </c>
      <c r="D16" s="11">
        <f t="shared" ref="D16:D17" si="12">C16*5280/60</f>
        <v>22</v>
      </c>
      <c r="E16" s="11">
        <v>0.5</v>
      </c>
      <c r="F16" s="64">
        <f t="shared" ref="F16:F19" si="13">A16*B16/(D16*E16*E16)</f>
        <v>6545.454545454545</v>
      </c>
      <c r="G16" s="65">
        <f t="shared" ref="G16:G19" si="14">B16/F16</f>
        <v>0.18333333333333335</v>
      </c>
      <c r="H16" s="65">
        <f t="shared" ref="H16:H19" si="15">-G$7/G16</f>
        <v>-576</v>
      </c>
      <c r="I16" s="65" t="s">
        <v>1631</v>
      </c>
    </row>
    <row r="17" spans="1:10" x14ac:dyDescent="0.25">
      <c r="A17" s="11">
        <v>30</v>
      </c>
      <c r="B17" s="11">
        <f t="shared" si="11"/>
        <v>1200</v>
      </c>
      <c r="C17" s="11">
        <v>0.25</v>
      </c>
      <c r="D17" s="11">
        <f t="shared" si="12"/>
        <v>22</v>
      </c>
      <c r="E17" s="11">
        <v>1</v>
      </c>
      <c r="F17" s="64">
        <f t="shared" si="13"/>
        <v>1636.3636363636363</v>
      </c>
      <c r="G17" s="65">
        <f t="shared" si="14"/>
        <v>0.73333333333333339</v>
      </c>
      <c r="H17" s="65">
        <f t="shared" si="15"/>
        <v>-144</v>
      </c>
      <c r="I17" s="65" t="s">
        <v>1631</v>
      </c>
    </row>
    <row r="18" spans="1:10" x14ac:dyDescent="0.25">
      <c r="A18" s="11">
        <v>30</v>
      </c>
      <c r="B18" s="11">
        <f t="shared" si="0"/>
        <v>1200</v>
      </c>
      <c r="C18" s="11">
        <v>0.5</v>
      </c>
      <c r="D18" s="11">
        <f>C18*5280/60</f>
        <v>44</v>
      </c>
      <c r="E18" s="11">
        <v>0.5</v>
      </c>
      <c r="F18" s="64">
        <f t="shared" si="13"/>
        <v>3272.7272727272725</v>
      </c>
      <c r="G18" s="65">
        <f t="shared" si="14"/>
        <v>0.3666666666666667</v>
      </c>
      <c r="H18" s="65">
        <f t="shared" si="15"/>
        <v>-288</v>
      </c>
      <c r="I18" s="65" t="s">
        <v>1631</v>
      </c>
    </row>
    <row r="19" spans="1:10" x14ac:dyDescent="0.25">
      <c r="A19" s="11">
        <v>30</v>
      </c>
      <c r="B19" s="11">
        <f t="shared" si="0"/>
        <v>1200</v>
      </c>
      <c r="C19" s="11">
        <v>0.5</v>
      </c>
      <c r="D19" s="11">
        <f>C19*5280/60</f>
        <v>44</v>
      </c>
      <c r="E19" s="11">
        <v>1</v>
      </c>
      <c r="F19" s="64">
        <f t="shared" si="13"/>
        <v>818.18181818181813</v>
      </c>
      <c r="G19" s="65">
        <f t="shared" si="14"/>
        <v>1.4666666666666668</v>
      </c>
      <c r="H19" s="65">
        <f t="shared" si="15"/>
        <v>-72</v>
      </c>
      <c r="I19" s="65" t="s">
        <v>1631</v>
      </c>
    </row>
    <row r="21" spans="1:10" x14ac:dyDescent="0.25">
      <c r="A21" s="11">
        <v>30</v>
      </c>
      <c r="B21" s="11">
        <f t="shared" ref="B21:B24" si="16">20*60</f>
        <v>1200</v>
      </c>
      <c r="C21" s="11">
        <v>0.25</v>
      </c>
      <c r="D21" s="11">
        <f t="shared" ref="D21:D22" si="17">C21*5280/60</f>
        <v>22</v>
      </c>
      <c r="E21" s="11">
        <v>16</v>
      </c>
      <c r="F21" s="64">
        <f t="shared" ref="F21:F24" si="18">A21*B21/(D21*E21*E21)</f>
        <v>6.3920454545454541</v>
      </c>
      <c r="G21" s="65">
        <f t="shared" ref="G21:G24" si="19">B21/F21</f>
        <v>187.73333333333335</v>
      </c>
      <c r="H21" s="65">
        <f t="shared" ref="H21:H24" si="20">G21/G$7</f>
        <v>1.7777777777777777</v>
      </c>
      <c r="I21" s="65" t="s">
        <v>1631</v>
      </c>
    </row>
    <row r="22" spans="1:10" x14ac:dyDescent="0.25">
      <c r="A22" s="11">
        <v>30</v>
      </c>
      <c r="B22" s="11">
        <f t="shared" si="16"/>
        <v>1200</v>
      </c>
      <c r="C22" s="11">
        <v>0.25</v>
      </c>
      <c r="D22" s="11">
        <f t="shared" si="17"/>
        <v>22</v>
      </c>
      <c r="E22" s="11">
        <v>26</v>
      </c>
      <c r="F22" s="64">
        <f t="shared" si="18"/>
        <v>2.4206562668101128</v>
      </c>
      <c r="G22" s="65">
        <f t="shared" si="19"/>
        <v>495.73333333333335</v>
      </c>
      <c r="H22" s="65">
        <f t="shared" si="20"/>
        <v>4.6944444444444446</v>
      </c>
      <c r="I22" s="65" t="s">
        <v>1631</v>
      </c>
    </row>
    <row r="23" spans="1:10" x14ac:dyDescent="0.25">
      <c r="A23" s="11">
        <v>30</v>
      </c>
      <c r="B23" s="11">
        <f t="shared" si="16"/>
        <v>1200</v>
      </c>
      <c r="C23" s="11">
        <v>0.5</v>
      </c>
      <c r="D23" s="11">
        <f>C23*5280/60</f>
        <v>44</v>
      </c>
      <c r="E23" s="11">
        <v>16</v>
      </c>
      <c r="F23" s="64">
        <f t="shared" si="18"/>
        <v>3.1960227272727271</v>
      </c>
      <c r="G23" s="65">
        <f t="shared" si="19"/>
        <v>375.4666666666667</v>
      </c>
      <c r="H23" s="65">
        <f t="shared" si="20"/>
        <v>3.5555555555555554</v>
      </c>
      <c r="I23" s="65" t="s">
        <v>1631</v>
      </c>
    </row>
    <row r="24" spans="1:10" x14ac:dyDescent="0.25">
      <c r="A24" s="11">
        <v>30</v>
      </c>
      <c r="B24" s="11">
        <f t="shared" si="16"/>
        <v>1200</v>
      </c>
      <c r="C24" s="11">
        <v>0.5</v>
      </c>
      <c r="D24" s="11">
        <f>C24*5280/60</f>
        <v>44</v>
      </c>
      <c r="E24" s="11">
        <v>26</v>
      </c>
      <c r="F24" s="64">
        <f t="shared" si="18"/>
        <v>1.2103281334050564</v>
      </c>
      <c r="G24" s="65">
        <f t="shared" si="19"/>
        <v>991.4666666666667</v>
      </c>
      <c r="H24" s="65">
        <f t="shared" si="20"/>
        <v>9.3888888888888893</v>
      </c>
      <c r="I24" s="65" t="s">
        <v>1631</v>
      </c>
    </row>
    <row r="28" spans="1:10" x14ac:dyDescent="0.25">
      <c r="B28" s="63" t="s">
        <v>1365</v>
      </c>
      <c r="C28" s="63"/>
      <c r="D28" s="63"/>
      <c r="E28" s="63" t="s">
        <v>1367</v>
      </c>
      <c r="F28" s="63" t="s">
        <v>1366</v>
      </c>
    </row>
    <row r="29" spans="1:10" ht="47.25" x14ac:dyDescent="0.25">
      <c r="B29" s="62" t="s">
        <v>1359</v>
      </c>
      <c r="E29" s="62" t="s">
        <v>1357</v>
      </c>
      <c r="F29" s="62" t="s">
        <v>1360</v>
      </c>
      <c r="G29" s="62" t="s">
        <v>1369</v>
      </c>
      <c r="H29" s="113" t="s">
        <v>1641</v>
      </c>
      <c r="I29" s="62"/>
      <c r="J29" s="11" t="s">
        <v>1346</v>
      </c>
    </row>
    <row r="30" spans="1:10" x14ac:dyDescent="0.25">
      <c r="B30" s="11">
        <f t="shared" ref="B30:B31" si="21">20*60</f>
        <v>1200</v>
      </c>
      <c r="E30" s="11">
        <v>0.5</v>
      </c>
      <c r="F30" s="64">
        <f t="shared" ref="F30:F31" si="22">B30/(E30*E30)</f>
        <v>4800</v>
      </c>
      <c r="G30" s="11">
        <f t="shared" ref="G30:G31" si="23">B30/F30</f>
        <v>0.25</v>
      </c>
      <c r="H30" s="65">
        <f>-G$32/G30</f>
        <v>-144</v>
      </c>
      <c r="I30" s="65" t="s">
        <v>1631</v>
      </c>
      <c r="J30" s="11" t="s">
        <v>1364</v>
      </c>
    </row>
    <row r="31" spans="1:10" x14ac:dyDescent="0.25">
      <c r="B31" s="11">
        <f t="shared" si="21"/>
        <v>1200</v>
      </c>
      <c r="E31" s="11">
        <v>1</v>
      </c>
      <c r="F31" s="64">
        <f t="shared" si="22"/>
        <v>1200</v>
      </c>
      <c r="G31" s="11">
        <f t="shared" si="23"/>
        <v>1</v>
      </c>
      <c r="H31" s="65">
        <f>-G$32/G31</f>
        <v>-36</v>
      </c>
      <c r="I31" s="65" t="s">
        <v>1631</v>
      </c>
      <c r="J31" s="11" t="s">
        <v>1364</v>
      </c>
    </row>
    <row r="32" spans="1:10" x14ac:dyDescent="0.25">
      <c r="B32" s="11">
        <f>20*60</f>
        <v>1200</v>
      </c>
      <c r="E32" s="11">
        <v>6</v>
      </c>
      <c r="F32" s="64">
        <f>B32/(E32*E32)</f>
        <v>33.333333333333336</v>
      </c>
      <c r="G32" s="11">
        <f>B32/F32</f>
        <v>36</v>
      </c>
      <c r="H32" s="65">
        <f>G32/G$32</f>
        <v>1</v>
      </c>
      <c r="I32" s="11" t="s">
        <v>1638</v>
      </c>
    </row>
    <row r="33" spans="1:11" x14ac:dyDescent="0.25">
      <c r="B33" s="11">
        <f>B32</f>
        <v>1200</v>
      </c>
      <c r="E33" s="11">
        <f>E32+10</f>
        <v>16</v>
      </c>
      <c r="F33" s="64">
        <f t="shared" ref="F33:F39" si="24">B33/(E33*E33)</f>
        <v>4.6875</v>
      </c>
      <c r="G33" s="11">
        <f t="shared" ref="G33:G39" si="25">B33/F33</f>
        <v>256</v>
      </c>
      <c r="H33" s="65">
        <f>G33/G$32</f>
        <v>7.1111111111111107</v>
      </c>
      <c r="I33" s="65" t="s">
        <v>1630</v>
      </c>
      <c r="J33" s="11" t="s">
        <v>1362</v>
      </c>
    </row>
    <row r="34" spans="1:11" x14ac:dyDescent="0.25">
      <c r="B34" s="11">
        <f t="shared" ref="B34:B39" si="26">B33</f>
        <v>1200</v>
      </c>
      <c r="E34" s="11">
        <f t="shared" ref="E34:E39" si="27">E33+10</f>
        <v>26</v>
      </c>
      <c r="F34" s="64">
        <f t="shared" si="24"/>
        <v>1.7751479289940828</v>
      </c>
      <c r="G34" s="11">
        <f t="shared" si="25"/>
        <v>676</v>
      </c>
      <c r="H34" s="65">
        <f t="shared" ref="H34:H39" si="28">G34/G$32</f>
        <v>18.777777777777779</v>
      </c>
      <c r="I34" s="65" t="s">
        <v>1630</v>
      </c>
      <c r="J34" s="11" t="s">
        <v>1363</v>
      </c>
    </row>
    <row r="35" spans="1:11" x14ac:dyDescent="0.25">
      <c r="B35" s="11">
        <f t="shared" si="26"/>
        <v>1200</v>
      </c>
      <c r="E35" s="11">
        <f t="shared" si="27"/>
        <v>36</v>
      </c>
      <c r="F35" s="64">
        <f t="shared" si="24"/>
        <v>0.92592592592592593</v>
      </c>
      <c r="G35" s="11">
        <f t="shared" si="25"/>
        <v>1296</v>
      </c>
      <c r="H35" s="65">
        <f t="shared" si="28"/>
        <v>36</v>
      </c>
      <c r="I35" s="65" t="s">
        <v>1630</v>
      </c>
      <c r="J35" s="11" t="s">
        <v>1345</v>
      </c>
    </row>
    <row r="36" spans="1:11" x14ac:dyDescent="0.25">
      <c r="B36" s="11">
        <f t="shared" si="26"/>
        <v>1200</v>
      </c>
      <c r="E36" s="11">
        <f t="shared" si="27"/>
        <v>46</v>
      </c>
      <c r="F36" s="64">
        <f t="shared" si="24"/>
        <v>0.56710775047258977</v>
      </c>
      <c r="G36" s="11">
        <f t="shared" si="25"/>
        <v>2116</v>
      </c>
      <c r="H36" s="65">
        <f t="shared" si="28"/>
        <v>58.777777777777779</v>
      </c>
      <c r="I36" s="65" t="s">
        <v>1630</v>
      </c>
    </row>
    <row r="37" spans="1:11" x14ac:dyDescent="0.25">
      <c r="B37" s="11">
        <f t="shared" si="26"/>
        <v>1200</v>
      </c>
      <c r="E37" s="11">
        <f t="shared" si="27"/>
        <v>56</v>
      </c>
      <c r="F37" s="64">
        <f t="shared" si="24"/>
        <v>0.38265306122448978</v>
      </c>
      <c r="G37" s="11">
        <f t="shared" si="25"/>
        <v>3136</v>
      </c>
      <c r="H37" s="65">
        <f t="shared" si="28"/>
        <v>87.111111111111114</v>
      </c>
      <c r="I37" s="65" t="s">
        <v>1630</v>
      </c>
    </row>
    <row r="38" spans="1:11" x14ac:dyDescent="0.25">
      <c r="B38" s="11">
        <f t="shared" si="26"/>
        <v>1200</v>
      </c>
      <c r="E38" s="11">
        <f t="shared" si="27"/>
        <v>66</v>
      </c>
      <c r="F38" s="64">
        <f t="shared" si="24"/>
        <v>0.27548209366391185</v>
      </c>
      <c r="G38" s="11">
        <f t="shared" si="25"/>
        <v>4356</v>
      </c>
      <c r="H38" s="65">
        <f t="shared" si="28"/>
        <v>121</v>
      </c>
      <c r="I38" s="65" t="s">
        <v>1630</v>
      </c>
    </row>
    <row r="39" spans="1:11" x14ac:dyDescent="0.25">
      <c r="B39" s="11">
        <f t="shared" si="26"/>
        <v>1200</v>
      </c>
      <c r="E39" s="11">
        <f t="shared" si="27"/>
        <v>76</v>
      </c>
      <c r="F39" s="64">
        <f t="shared" si="24"/>
        <v>0.2077562326869806</v>
      </c>
      <c r="G39" s="11">
        <f t="shared" si="25"/>
        <v>5776</v>
      </c>
      <c r="H39" s="65">
        <f t="shared" si="28"/>
        <v>160.44444444444446</v>
      </c>
      <c r="I39" s="65" t="s">
        <v>1630</v>
      </c>
    </row>
    <row r="42" spans="1:11" x14ac:dyDescent="0.25">
      <c r="A42" s="63" t="s">
        <v>244</v>
      </c>
      <c r="B42" s="63" t="s">
        <v>1350</v>
      </c>
      <c r="C42" s="63" t="s">
        <v>1352</v>
      </c>
      <c r="D42" s="63" t="s">
        <v>1352</v>
      </c>
      <c r="E42" s="63" t="s">
        <v>1351</v>
      </c>
      <c r="F42" s="63" t="s">
        <v>1349</v>
      </c>
    </row>
    <row r="43" spans="1:11" ht="47.25" x14ac:dyDescent="0.25">
      <c r="A43" s="63" t="s">
        <v>244</v>
      </c>
      <c r="B43" s="62" t="s">
        <v>1359</v>
      </c>
      <c r="C43" s="62" t="s">
        <v>1358</v>
      </c>
      <c r="D43" s="62" t="s">
        <v>1361</v>
      </c>
      <c r="E43" s="62" t="s">
        <v>1357</v>
      </c>
      <c r="F43" s="62" t="s">
        <v>1360</v>
      </c>
      <c r="G43" s="62" t="s">
        <v>1368</v>
      </c>
      <c r="H43" s="63" t="s">
        <v>1389</v>
      </c>
      <c r="J43" s="61" t="s">
        <v>1379</v>
      </c>
      <c r="K43" s="61" t="s">
        <v>840</v>
      </c>
    </row>
    <row r="44" spans="1:11" x14ac:dyDescent="0.25">
      <c r="A44" s="11">
        <v>30</v>
      </c>
      <c r="B44" s="11">
        <f>20*60</f>
        <v>1200</v>
      </c>
      <c r="C44" s="11">
        <v>1</v>
      </c>
      <c r="D44" s="11">
        <f>C44*5280/60</f>
        <v>88</v>
      </c>
      <c r="E44" s="11">
        <v>1</v>
      </c>
      <c r="F44" s="66">
        <f>A44*B44/(D44*E44*E44)</f>
        <v>409.09090909090907</v>
      </c>
      <c r="G44" s="65">
        <f>B44/F44</f>
        <v>2.9333333333333336</v>
      </c>
      <c r="H44" s="66" t="s">
        <v>1391</v>
      </c>
      <c r="J44" s="11" t="s">
        <v>1381</v>
      </c>
      <c r="K44" s="11" t="s">
        <v>1371</v>
      </c>
    </row>
    <row r="45" spans="1:11" x14ac:dyDescent="0.25">
      <c r="A45" s="11">
        <v>30</v>
      </c>
      <c r="B45" s="11">
        <f>20*60</f>
        <v>1200</v>
      </c>
      <c r="C45" s="11">
        <v>1</v>
      </c>
      <c r="D45" s="11">
        <f>C45*5280/60</f>
        <v>88</v>
      </c>
      <c r="E45" s="11">
        <v>6</v>
      </c>
      <c r="F45" s="66">
        <f>A45*B45/(D45*E45*E45)</f>
        <v>11.363636363636363</v>
      </c>
      <c r="G45" s="65">
        <f>B45/F45</f>
        <v>105.60000000000001</v>
      </c>
      <c r="H45" s="66" t="s">
        <v>412</v>
      </c>
      <c r="J45" s="11" t="s">
        <v>1381</v>
      </c>
      <c r="K45" s="11" t="s">
        <v>1371</v>
      </c>
    </row>
    <row r="46" spans="1:11" x14ac:dyDescent="0.25">
      <c r="A46" s="11">
        <v>30</v>
      </c>
      <c r="B46" s="11">
        <f>B45</f>
        <v>1200</v>
      </c>
      <c r="C46" s="11">
        <f>C45</f>
        <v>1</v>
      </c>
      <c r="D46" s="11">
        <f t="shared" ref="D46" si="29">C46*5280/60</f>
        <v>88</v>
      </c>
      <c r="E46" s="11">
        <f>E45+10</f>
        <v>16</v>
      </c>
      <c r="F46" s="66">
        <f>A46*B46/(D46*E46*E46)</f>
        <v>1.5980113636363635</v>
      </c>
      <c r="G46" s="65">
        <f t="shared" ref="G46" si="30">B46/F46</f>
        <v>750.93333333333339</v>
      </c>
      <c r="H46" s="66" t="s">
        <v>1390</v>
      </c>
      <c r="J46" s="11" t="s">
        <v>1381</v>
      </c>
      <c r="K46" s="11" t="s">
        <v>1371</v>
      </c>
    </row>
    <row r="47" spans="1:11" x14ac:dyDescent="0.25">
      <c r="F47" s="66"/>
      <c r="H47" s="66"/>
    </row>
    <row r="48" spans="1:11" x14ac:dyDescent="0.25">
      <c r="A48" s="11">
        <v>30</v>
      </c>
      <c r="B48" s="11">
        <f>20*60</f>
        <v>1200</v>
      </c>
      <c r="C48" s="11">
        <v>1.1363636E-2</v>
      </c>
      <c r="D48" s="11">
        <f>C48*5280/60</f>
        <v>0.99999996799999991</v>
      </c>
      <c r="E48" s="11">
        <v>1</v>
      </c>
      <c r="F48" s="66">
        <f>A48*B48/(D48*E48*E48)</f>
        <v>36000.001152000041</v>
      </c>
      <c r="G48" s="65">
        <f>B48/F48</f>
        <v>3.3333332266666661E-2</v>
      </c>
      <c r="H48" s="66" t="s">
        <v>1391</v>
      </c>
      <c r="J48" s="11" t="s">
        <v>1380</v>
      </c>
      <c r="K48" s="11" t="s">
        <v>1378</v>
      </c>
    </row>
    <row r="49" spans="1:14" x14ac:dyDescent="0.25">
      <c r="A49" s="11">
        <v>30</v>
      </c>
      <c r="B49" s="11">
        <f>20*60</f>
        <v>1200</v>
      </c>
      <c r="C49" s="11">
        <v>1.1363636E-2</v>
      </c>
      <c r="D49" s="11">
        <f>C49*5280/60</f>
        <v>0.99999996799999991</v>
      </c>
      <c r="E49" s="11">
        <v>6</v>
      </c>
      <c r="F49" s="66">
        <f>A49*B49/(D49*E49*E49)</f>
        <v>1000.0000320000011</v>
      </c>
      <c r="G49" s="65">
        <f>B49/F49</f>
        <v>1.1999999615999999</v>
      </c>
      <c r="H49" s="66" t="s">
        <v>1391</v>
      </c>
      <c r="J49" s="11" t="s">
        <v>1380</v>
      </c>
      <c r="K49" s="11" t="s">
        <v>1372</v>
      </c>
    </row>
    <row r="50" spans="1:14" x14ac:dyDescent="0.25">
      <c r="A50" s="11">
        <v>30</v>
      </c>
      <c r="B50" s="11">
        <f>B49</f>
        <v>1200</v>
      </c>
      <c r="C50" s="11">
        <v>1.1363636E-2</v>
      </c>
      <c r="D50" s="11">
        <f t="shared" ref="D50" si="31">C50*5280/60</f>
        <v>0.99999996799999991</v>
      </c>
      <c r="E50" s="11">
        <f>E49+10</f>
        <v>16</v>
      </c>
      <c r="F50" s="66">
        <f>A50*B50/(D50*E50*E50)</f>
        <v>140.62500450000016</v>
      </c>
      <c r="G50" s="65">
        <f t="shared" ref="G50" si="32">B50/F50</f>
        <v>8.5333330602666653</v>
      </c>
      <c r="H50" s="66" t="s">
        <v>1391</v>
      </c>
      <c r="J50" s="11" t="s">
        <v>1380</v>
      </c>
      <c r="K50" s="11" t="s">
        <v>1372</v>
      </c>
    </row>
    <row r="51" spans="1:14" x14ac:dyDescent="0.25">
      <c r="F51" s="66"/>
      <c r="H51" s="66"/>
    </row>
    <row r="52" spans="1:14" x14ac:dyDescent="0.25">
      <c r="A52" s="11">
        <v>1</v>
      </c>
      <c r="B52" s="11">
        <f>20*60</f>
        <v>1200</v>
      </c>
      <c r="C52" s="11">
        <v>1</v>
      </c>
      <c r="D52" s="11">
        <f>C52*5280/60</f>
        <v>88</v>
      </c>
      <c r="E52" s="11">
        <v>1</v>
      </c>
      <c r="F52" s="66">
        <f>A52*B52/(D52*E52*E52)</f>
        <v>13.636363636363637</v>
      </c>
      <c r="G52" s="65">
        <f>B52/F52</f>
        <v>88</v>
      </c>
      <c r="H52" s="66" t="s">
        <v>412</v>
      </c>
      <c r="J52" s="11" t="s">
        <v>1384</v>
      </c>
      <c r="K52" s="11" t="s">
        <v>1377</v>
      </c>
    </row>
    <row r="53" spans="1:14" x14ac:dyDescent="0.25">
      <c r="A53" s="11">
        <v>1</v>
      </c>
      <c r="B53" s="11">
        <f>20*60</f>
        <v>1200</v>
      </c>
      <c r="C53" s="11">
        <v>1</v>
      </c>
      <c r="D53" s="11">
        <f>C53*5280/60</f>
        <v>88</v>
      </c>
      <c r="E53" s="11">
        <v>6</v>
      </c>
      <c r="F53" s="66">
        <f>A53*B53/(D53*E53*E53)</f>
        <v>0.37878787878787878</v>
      </c>
      <c r="G53" s="65">
        <f>B53/F53</f>
        <v>3168</v>
      </c>
      <c r="H53" s="66" t="s">
        <v>403</v>
      </c>
      <c r="J53" s="11" t="s">
        <v>1384</v>
      </c>
      <c r="K53" s="11" t="s">
        <v>1373</v>
      </c>
    </row>
    <row r="54" spans="1:14" x14ac:dyDescent="0.25">
      <c r="A54" s="11">
        <v>1</v>
      </c>
      <c r="B54" s="11">
        <f>B53</f>
        <v>1200</v>
      </c>
      <c r="C54" s="11">
        <f>C53</f>
        <v>1</v>
      </c>
      <c r="D54" s="11">
        <f t="shared" ref="D54" si="33">C54*5280/60</f>
        <v>88</v>
      </c>
      <c r="E54" s="11">
        <f>E53+10</f>
        <v>16</v>
      </c>
      <c r="F54" s="66">
        <f>A54*B54/(D54*E54*E54)</f>
        <v>5.3267045454545456E-2</v>
      </c>
      <c r="G54" s="65">
        <f t="shared" ref="G54" si="34">B54/F54</f>
        <v>22528</v>
      </c>
      <c r="H54" s="66" t="s">
        <v>403</v>
      </c>
      <c r="J54" s="11" t="s">
        <v>1384</v>
      </c>
      <c r="K54" s="11" t="s">
        <v>1373</v>
      </c>
    </row>
    <row r="55" spans="1:14" x14ac:dyDescent="0.25">
      <c r="F55" s="66"/>
      <c r="H55" s="66"/>
    </row>
    <row r="56" spans="1:14" x14ac:dyDescent="0.25">
      <c r="A56" s="11">
        <v>1</v>
      </c>
      <c r="B56" s="11">
        <f>20*60</f>
        <v>1200</v>
      </c>
      <c r="C56" s="11">
        <f>D56*60/5280</f>
        <v>1.1363636363636364E-2</v>
      </c>
      <c r="D56" s="65">
        <v>1</v>
      </c>
      <c r="E56" s="11">
        <v>1</v>
      </c>
      <c r="F56" s="66">
        <f>A56*B56/(D56*E56*E56)</f>
        <v>1200</v>
      </c>
      <c r="G56" s="65">
        <f>B56/F56</f>
        <v>1</v>
      </c>
      <c r="H56" s="66" t="s">
        <v>1391</v>
      </c>
      <c r="J56" s="11" t="s">
        <v>1383</v>
      </c>
      <c r="K56" s="11" t="s">
        <v>1394</v>
      </c>
    </row>
    <row r="57" spans="1:14" x14ac:dyDescent="0.25">
      <c r="A57" s="11">
        <v>1</v>
      </c>
      <c r="B57" s="11">
        <f>20*60</f>
        <v>1200</v>
      </c>
      <c r="C57" s="11">
        <v>1.1363636E-2</v>
      </c>
      <c r="D57" s="11">
        <f>C57*5280/60</f>
        <v>0.99999996799999991</v>
      </c>
      <c r="E57" s="11">
        <v>6</v>
      </c>
      <c r="F57" s="66">
        <f>A57*B57/(D57*E57*E57)</f>
        <v>33.333334400000034</v>
      </c>
      <c r="G57" s="65">
        <f>B57/F57</f>
        <v>35.999998847999997</v>
      </c>
      <c r="H57" s="66" t="s">
        <v>1391</v>
      </c>
      <c r="J57" s="11" t="s">
        <v>1383</v>
      </c>
      <c r="K57" s="11" t="s">
        <v>1374</v>
      </c>
    </row>
    <row r="58" spans="1:14" x14ac:dyDescent="0.25">
      <c r="A58" s="11">
        <v>1</v>
      </c>
      <c r="B58" s="11">
        <f>B57</f>
        <v>1200</v>
      </c>
      <c r="C58" s="11">
        <v>1.1363636E-2</v>
      </c>
      <c r="D58" s="11">
        <f t="shared" ref="D58" si="35">C58*5280/60</f>
        <v>0.99999996799999991</v>
      </c>
      <c r="E58" s="11">
        <f>E57+10</f>
        <v>16</v>
      </c>
      <c r="F58" s="66">
        <f>A58*B58/(D58*E58*E58)</f>
        <v>4.6875001500000053</v>
      </c>
      <c r="G58" s="65">
        <f t="shared" ref="G58" si="36">B58/F58</f>
        <v>255.99999180799998</v>
      </c>
      <c r="H58" s="66" t="s">
        <v>412</v>
      </c>
      <c r="J58" s="11" t="s">
        <v>1382</v>
      </c>
      <c r="K58" s="11" t="s">
        <v>1374</v>
      </c>
    </row>
    <row r="59" spans="1:14" x14ac:dyDescent="0.25">
      <c r="F59" s="66"/>
    </row>
    <row r="61" spans="1:14" x14ac:dyDescent="0.25">
      <c r="B61" s="11" t="s">
        <v>1417</v>
      </c>
    </row>
    <row r="62" spans="1:14" ht="63" x14ac:dyDescent="0.25">
      <c r="B62" s="62" t="s">
        <v>1410</v>
      </c>
      <c r="C62" s="63" t="s">
        <v>1385</v>
      </c>
      <c r="D62" s="63" t="s">
        <v>1386</v>
      </c>
      <c r="E62" s="63" t="s">
        <v>261</v>
      </c>
      <c r="F62" s="63" t="s">
        <v>1387</v>
      </c>
      <c r="G62" s="62" t="s">
        <v>1409</v>
      </c>
      <c r="H62" s="62" t="s">
        <v>1398</v>
      </c>
      <c r="I62" s="62" t="s">
        <v>1397</v>
      </c>
      <c r="J62" s="62" t="s">
        <v>1424</v>
      </c>
      <c r="K62" s="62" t="s">
        <v>1425</v>
      </c>
      <c r="L62" s="62" t="s">
        <v>1389</v>
      </c>
      <c r="M62" s="61" t="s">
        <v>1379</v>
      </c>
      <c r="N62" s="61" t="s">
        <v>840</v>
      </c>
    </row>
    <row r="63" spans="1:14" x14ac:dyDescent="0.25">
      <c r="B63" s="67">
        <f>20*60</f>
        <v>1200</v>
      </c>
      <c r="C63" s="11">
        <v>30</v>
      </c>
      <c r="D63" s="11">
        <v>30</v>
      </c>
      <c r="E63" s="11">
        <v>8</v>
      </c>
      <c r="F63" s="67">
        <f t="shared" ref="F63:F65" si="37">C63*D63*E63</f>
        <v>7200</v>
      </c>
      <c r="G63" s="68">
        <f>B63/F63</f>
        <v>0.16666666666666666</v>
      </c>
      <c r="H63" s="67">
        <f>1000/G63</f>
        <v>6000</v>
      </c>
      <c r="I63" s="69">
        <f>60/H63</f>
        <v>0.01</v>
      </c>
      <c r="J63" s="69"/>
      <c r="K63" s="69"/>
      <c r="L63" s="66" t="s">
        <v>1399</v>
      </c>
      <c r="M63" s="11" t="s">
        <v>1392</v>
      </c>
      <c r="N63" s="11" t="s">
        <v>1388</v>
      </c>
    </row>
    <row r="64" spans="1:14" x14ac:dyDescent="0.25">
      <c r="B64" s="67">
        <f>3000*0.8*6*3/60</f>
        <v>720</v>
      </c>
      <c r="C64" s="11">
        <v>30</v>
      </c>
      <c r="D64" s="11">
        <v>30</v>
      </c>
      <c r="E64" s="11">
        <v>8</v>
      </c>
      <c r="F64" s="67">
        <f t="shared" si="37"/>
        <v>7200</v>
      </c>
      <c r="G64" s="68">
        <f t="shared" ref="G64:G65" si="38">B64/F64</f>
        <v>0.1</v>
      </c>
      <c r="H64" s="67">
        <f t="shared" ref="H64:H65" si="39">1000/G64</f>
        <v>10000</v>
      </c>
      <c r="I64" s="69">
        <f t="shared" ref="I64:I65" si="40">60/H64</f>
        <v>6.0000000000000001E-3</v>
      </c>
      <c r="J64" s="69"/>
      <c r="K64" s="69"/>
      <c r="L64" s="66" t="s">
        <v>1399</v>
      </c>
      <c r="M64" s="11" t="s">
        <v>1392</v>
      </c>
      <c r="N64" s="11" t="s">
        <v>1395</v>
      </c>
    </row>
    <row r="65" spans="2:14" x14ac:dyDescent="0.25">
      <c r="B65" s="67">
        <f>200000000*0.8/60</f>
        <v>2666666.6666666665</v>
      </c>
      <c r="C65" s="11">
        <v>30</v>
      </c>
      <c r="D65" s="11">
        <v>30</v>
      </c>
      <c r="E65" s="11">
        <v>8</v>
      </c>
      <c r="F65" s="67">
        <f t="shared" si="37"/>
        <v>7200</v>
      </c>
      <c r="G65" s="68">
        <f t="shared" si="38"/>
        <v>370.37037037037032</v>
      </c>
      <c r="H65" s="67">
        <f t="shared" si="39"/>
        <v>2.7</v>
      </c>
      <c r="I65" s="69">
        <f t="shared" si="40"/>
        <v>22.222222222222221</v>
      </c>
      <c r="J65" s="69">
        <f>I65*0.25</f>
        <v>5.5555555555555554</v>
      </c>
      <c r="K65" s="69">
        <f>I65*0.0625</f>
        <v>1.3888888888888888</v>
      </c>
      <c r="L65" s="66" t="s">
        <v>403</v>
      </c>
      <c r="M65" s="11" t="s">
        <v>1392</v>
      </c>
      <c r="N65" s="11" t="s">
        <v>1396</v>
      </c>
    </row>
    <row r="66" spans="2:14" x14ac:dyDescent="0.25">
      <c r="B66" s="67"/>
      <c r="F66" s="67"/>
      <c r="G66" s="67"/>
      <c r="H66" s="66"/>
      <c r="I66" s="69"/>
      <c r="J66" s="69"/>
      <c r="K66" s="69"/>
      <c r="L66" s="66"/>
    </row>
    <row r="67" spans="2:14" x14ac:dyDescent="0.25">
      <c r="B67" s="67">
        <f>20*60</f>
        <v>1200</v>
      </c>
      <c r="C67" s="11">
        <v>100</v>
      </c>
      <c r="D67" s="11">
        <v>100</v>
      </c>
      <c r="E67" s="11">
        <v>40</v>
      </c>
      <c r="F67" s="67">
        <f>C67*D67*E67</f>
        <v>400000</v>
      </c>
      <c r="G67" s="68">
        <f t="shared" ref="G67:G69" si="41">B67/F67</f>
        <v>3.0000000000000001E-3</v>
      </c>
      <c r="H67" s="67">
        <f t="shared" ref="H67:H69" si="42">1000/G67</f>
        <v>333333.33333333331</v>
      </c>
      <c r="I67" s="69">
        <f>60/H67</f>
        <v>1.8000000000000001E-4</v>
      </c>
      <c r="J67" s="69"/>
      <c r="K67" s="69"/>
      <c r="L67" s="66" t="s">
        <v>1399</v>
      </c>
      <c r="M67" s="11" t="s">
        <v>1393</v>
      </c>
      <c r="N67" s="11" t="s">
        <v>1388</v>
      </c>
    </row>
    <row r="68" spans="2:14" x14ac:dyDescent="0.25">
      <c r="B68" s="67">
        <f>3000*0.8*6*3/60</f>
        <v>720</v>
      </c>
      <c r="C68" s="11">
        <v>100</v>
      </c>
      <c r="D68" s="11">
        <v>100</v>
      </c>
      <c r="E68" s="11">
        <v>40</v>
      </c>
      <c r="F68" s="67">
        <f t="shared" ref="F68:F69" si="43">C68*D68*E68</f>
        <v>400000</v>
      </c>
      <c r="G68" s="68">
        <f t="shared" si="41"/>
        <v>1.8E-3</v>
      </c>
      <c r="H68" s="67">
        <f t="shared" si="42"/>
        <v>555555.55555555562</v>
      </c>
      <c r="I68" s="69">
        <f t="shared" ref="I68:I69" si="44">60/H68</f>
        <v>1.0799999999999998E-4</v>
      </c>
      <c r="J68" s="69"/>
      <c r="K68" s="69"/>
      <c r="L68" s="66" t="s">
        <v>1399</v>
      </c>
      <c r="M68" s="11" t="s">
        <v>1393</v>
      </c>
      <c r="N68" s="11" t="s">
        <v>1395</v>
      </c>
    </row>
    <row r="69" spans="2:14" x14ac:dyDescent="0.25">
      <c r="B69" s="67">
        <f>200000000*0.8/60</f>
        <v>2666666.6666666665</v>
      </c>
      <c r="C69" s="11">
        <v>100</v>
      </c>
      <c r="D69" s="11">
        <v>100</v>
      </c>
      <c r="E69" s="11">
        <v>40</v>
      </c>
      <c r="F69" s="67">
        <f t="shared" si="43"/>
        <v>400000</v>
      </c>
      <c r="G69" s="68">
        <f t="shared" si="41"/>
        <v>6.6666666666666661</v>
      </c>
      <c r="H69" s="67">
        <f t="shared" si="42"/>
        <v>150</v>
      </c>
      <c r="I69" s="69">
        <f t="shared" si="44"/>
        <v>0.4</v>
      </c>
      <c r="J69" s="69"/>
      <c r="K69" s="69"/>
      <c r="L69" s="66" t="s">
        <v>1399</v>
      </c>
      <c r="M69" s="11" t="s">
        <v>1393</v>
      </c>
      <c r="N69" s="11" t="s">
        <v>1396</v>
      </c>
    </row>
    <row r="71" spans="2:14" ht="63" x14ac:dyDescent="0.25">
      <c r="B71" s="62" t="s">
        <v>1410</v>
      </c>
      <c r="C71" s="63" t="s">
        <v>1385</v>
      </c>
      <c r="D71" s="63" t="s">
        <v>1386</v>
      </c>
      <c r="E71" s="63" t="s">
        <v>261</v>
      </c>
      <c r="F71" s="63" t="s">
        <v>1387</v>
      </c>
      <c r="G71" s="62" t="s">
        <v>1409</v>
      </c>
      <c r="H71" s="62" t="s">
        <v>1398</v>
      </c>
      <c r="I71" s="62" t="s">
        <v>1397</v>
      </c>
      <c r="J71" s="62" t="s">
        <v>1424</v>
      </c>
      <c r="K71" s="62" t="s">
        <v>1425</v>
      </c>
      <c r="L71" s="62" t="s">
        <v>1389</v>
      </c>
      <c r="M71" s="61" t="s">
        <v>1379</v>
      </c>
      <c r="N71" s="61" t="s">
        <v>840</v>
      </c>
    </row>
    <row r="72" spans="2:14" x14ac:dyDescent="0.25">
      <c r="B72" s="67">
        <f>20*60</f>
        <v>1200</v>
      </c>
      <c r="C72" s="11">
        <v>30</v>
      </c>
      <c r="D72" s="11">
        <v>30</v>
      </c>
      <c r="E72" s="11">
        <v>10</v>
      </c>
      <c r="F72" s="67">
        <f t="shared" ref="F72:F74" si="45">C72*D72*E72</f>
        <v>9000</v>
      </c>
      <c r="G72" s="68">
        <f>B72/F72</f>
        <v>0.13333333333333333</v>
      </c>
      <c r="H72" s="67">
        <f>1000/G72</f>
        <v>7500</v>
      </c>
      <c r="I72" s="69">
        <f>60/H72</f>
        <v>8.0000000000000002E-3</v>
      </c>
      <c r="J72" s="69"/>
      <c r="K72" s="69"/>
      <c r="L72" s="66" t="s">
        <v>1399</v>
      </c>
      <c r="M72" s="11" t="s">
        <v>1392</v>
      </c>
      <c r="N72" s="11" t="s">
        <v>1388</v>
      </c>
    </row>
    <row r="73" spans="2:14" x14ac:dyDescent="0.25">
      <c r="B73" s="67">
        <f>3000*0.8*6*3/60</f>
        <v>720</v>
      </c>
      <c r="C73" s="11">
        <v>30</v>
      </c>
      <c r="D73" s="11">
        <v>30</v>
      </c>
      <c r="E73" s="11">
        <v>10</v>
      </c>
      <c r="F73" s="67">
        <f t="shared" si="45"/>
        <v>9000</v>
      </c>
      <c r="G73" s="68">
        <f t="shared" ref="G73:G74" si="46">B73/F73</f>
        <v>0.08</v>
      </c>
      <c r="H73" s="67">
        <f t="shared" ref="H73:H74" si="47">1000/G73</f>
        <v>12500</v>
      </c>
      <c r="I73" s="69">
        <f t="shared" ref="I73:I74" si="48">60/H73</f>
        <v>4.7999999999999996E-3</v>
      </c>
      <c r="J73" s="69"/>
      <c r="K73" s="69"/>
      <c r="L73" s="66" t="s">
        <v>1399</v>
      </c>
      <c r="M73" s="11" t="s">
        <v>1392</v>
      </c>
      <c r="N73" s="11" t="s">
        <v>1395</v>
      </c>
    </row>
    <row r="74" spans="2:14" x14ac:dyDescent="0.25">
      <c r="B74" s="67">
        <f>200000000*0.8/60</f>
        <v>2666666.6666666665</v>
      </c>
      <c r="C74" s="11">
        <v>30</v>
      </c>
      <c r="D74" s="11">
        <v>30</v>
      </c>
      <c r="E74" s="11">
        <v>10</v>
      </c>
      <c r="F74" s="67">
        <f t="shared" si="45"/>
        <v>9000</v>
      </c>
      <c r="G74" s="68">
        <f t="shared" si="46"/>
        <v>296.2962962962963</v>
      </c>
      <c r="H74" s="67">
        <f t="shared" si="47"/>
        <v>3.375</v>
      </c>
      <c r="I74" s="69">
        <f t="shared" si="48"/>
        <v>17.777777777777779</v>
      </c>
      <c r="J74" s="69">
        <f>I74*0.25</f>
        <v>4.4444444444444446</v>
      </c>
      <c r="K74" s="69">
        <f>I74*0.0625</f>
        <v>1.1111111111111112</v>
      </c>
      <c r="L74" s="66" t="s">
        <v>403</v>
      </c>
      <c r="M74" s="11" t="s">
        <v>1392</v>
      </c>
      <c r="N74" s="11" t="s">
        <v>1396</v>
      </c>
    </row>
    <row r="75" spans="2:14" x14ac:dyDescent="0.25">
      <c r="B75" s="67"/>
      <c r="F75" s="67"/>
      <c r="G75" s="67"/>
      <c r="H75" s="66"/>
      <c r="I75" s="69"/>
      <c r="J75" s="69"/>
      <c r="K75" s="69"/>
      <c r="L75" s="66"/>
    </row>
    <row r="76" spans="2:14" x14ac:dyDescent="0.25">
      <c r="B76" s="67">
        <f>20*60</f>
        <v>1200</v>
      </c>
      <c r="C76" s="11">
        <v>100</v>
      </c>
      <c r="D76" s="11">
        <v>100</v>
      </c>
      <c r="E76" s="11">
        <v>40</v>
      </c>
      <c r="F76" s="67">
        <f>C76*D76*E76</f>
        <v>400000</v>
      </c>
      <c r="G76" s="68">
        <f t="shared" ref="G76:G78" si="49">B76/F76</f>
        <v>3.0000000000000001E-3</v>
      </c>
      <c r="H76" s="67">
        <f t="shared" ref="H76:H78" si="50">1000/G76</f>
        <v>333333.33333333331</v>
      </c>
      <c r="I76" s="69">
        <f>60/H76</f>
        <v>1.8000000000000001E-4</v>
      </c>
      <c r="J76" s="69"/>
      <c r="K76" s="69"/>
      <c r="L76" s="66" t="s">
        <v>1399</v>
      </c>
      <c r="M76" s="11" t="s">
        <v>1393</v>
      </c>
      <c r="N76" s="11" t="s">
        <v>1388</v>
      </c>
    </row>
    <row r="77" spans="2:14" x14ac:dyDescent="0.25">
      <c r="B77" s="67">
        <f>3000*0.8*6*3/60</f>
        <v>720</v>
      </c>
      <c r="C77" s="11">
        <v>100</v>
      </c>
      <c r="D77" s="11">
        <v>100</v>
      </c>
      <c r="E77" s="11">
        <v>40</v>
      </c>
      <c r="F77" s="67">
        <f t="shared" ref="F77:F78" si="51">C77*D77*E77</f>
        <v>400000</v>
      </c>
      <c r="G77" s="68">
        <f t="shared" si="49"/>
        <v>1.8E-3</v>
      </c>
      <c r="H77" s="67">
        <f t="shared" si="50"/>
        <v>555555.55555555562</v>
      </c>
      <c r="I77" s="69">
        <f t="shared" ref="I77:I78" si="52">60/H77</f>
        <v>1.0799999999999998E-4</v>
      </c>
      <c r="J77" s="69"/>
      <c r="K77" s="69"/>
      <c r="L77" s="66" t="s">
        <v>1399</v>
      </c>
      <c r="M77" s="11" t="s">
        <v>1393</v>
      </c>
      <c r="N77" s="11" t="s">
        <v>1395</v>
      </c>
    </row>
    <row r="78" spans="2:14" x14ac:dyDescent="0.25">
      <c r="B78" s="67">
        <f>200000000*0.8/60</f>
        <v>2666666.6666666665</v>
      </c>
      <c r="C78" s="11">
        <v>100</v>
      </c>
      <c r="D78" s="11">
        <v>100</v>
      </c>
      <c r="E78" s="11">
        <v>40</v>
      </c>
      <c r="F78" s="67">
        <f t="shared" si="51"/>
        <v>400000</v>
      </c>
      <c r="G78" s="68">
        <f t="shared" si="49"/>
        <v>6.6666666666666661</v>
      </c>
      <c r="H78" s="67">
        <f t="shared" si="50"/>
        <v>150</v>
      </c>
      <c r="I78" s="69">
        <f t="shared" si="52"/>
        <v>0.4</v>
      </c>
      <c r="J78" s="69"/>
      <c r="K78" s="69"/>
      <c r="L78" s="66" t="s">
        <v>1399</v>
      </c>
      <c r="M78" s="11" t="s">
        <v>1393</v>
      </c>
      <c r="N78" s="11" t="s">
        <v>1396</v>
      </c>
    </row>
    <row r="80" spans="2:14" ht="63" x14ac:dyDescent="0.25">
      <c r="B80" s="62" t="s">
        <v>1410</v>
      </c>
      <c r="C80" s="63" t="s">
        <v>1385</v>
      </c>
      <c r="D80" s="63" t="s">
        <v>1386</v>
      </c>
      <c r="E80" s="63" t="s">
        <v>261</v>
      </c>
      <c r="F80" s="63" t="s">
        <v>1387</v>
      </c>
      <c r="G80" s="62" t="s">
        <v>1409</v>
      </c>
      <c r="H80" s="62" t="s">
        <v>1398</v>
      </c>
      <c r="I80" s="62" t="s">
        <v>1397</v>
      </c>
      <c r="J80" s="62" t="s">
        <v>1424</v>
      </c>
      <c r="K80" s="62" t="s">
        <v>1425</v>
      </c>
      <c r="L80" s="62" t="s">
        <v>1389</v>
      </c>
      <c r="M80" s="61" t="s">
        <v>1379</v>
      </c>
      <c r="N80" s="61" t="s">
        <v>840</v>
      </c>
    </row>
    <row r="81" spans="2:14" x14ac:dyDescent="0.25">
      <c r="B81" s="67">
        <f>20*60</f>
        <v>1200</v>
      </c>
      <c r="C81" s="11">
        <v>30</v>
      </c>
      <c r="D81" s="11">
        <v>30</v>
      </c>
      <c r="E81" s="11">
        <v>12</v>
      </c>
      <c r="F81" s="67">
        <v>10800</v>
      </c>
      <c r="G81" s="68">
        <f>B81/F81</f>
        <v>0.1111111111111111</v>
      </c>
      <c r="H81" s="67">
        <f>1000/G81</f>
        <v>9000</v>
      </c>
      <c r="I81" s="69">
        <f>60/H81</f>
        <v>6.6666666666666671E-3</v>
      </c>
      <c r="J81" s="69"/>
      <c r="K81" s="69"/>
      <c r="L81" s="66" t="s">
        <v>1493</v>
      </c>
      <c r="M81" s="11" t="s">
        <v>1392</v>
      </c>
      <c r="N81" s="11" t="s">
        <v>1388</v>
      </c>
    </row>
    <row r="82" spans="2:14" x14ac:dyDescent="0.25">
      <c r="B82" s="67">
        <f>3000*0.8*6*3/60</f>
        <v>720</v>
      </c>
      <c r="C82" s="11">
        <v>30</v>
      </c>
      <c r="D82" s="11">
        <v>30</v>
      </c>
      <c r="E82" s="11">
        <v>12</v>
      </c>
      <c r="F82" s="67">
        <f t="shared" ref="F82:F83" si="53">C82*D82*E82</f>
        <v>10800</v>
      </c>
      <c r="G82" s="68">
        <f t="shared" ref="G82:G83" si="54">B82/F82</f>
        <v>6.6666666666666666E-2</v>
      </c>
      <c r="H82" s="67">
        <f t="shared" ref="H82:H87" si="55">1000/G82</f>
        <v>15000</v>
      </c>
      <c r="I82" s="69">
        <f t="shared" ref="I82:I83" si="56">60/H82</f>
        <v>4.0000000000000001E-3</v>
      </c>
      <c r="J82" s="69"/>
      <c r="K82" s="69"/>
      <c r="L82" s="66" t="s">
        <v>1493</v>
      </c>
      <c r="M82" s="11" t="s">
        <v>1392</v>
      </c>
      <c r="N82" s="11" t="s">
        <v>1395</v>
      </c>
    </row>
    <row r="83" spans="2:14" x14ac:dyDescent="0.25">
      <c r="B83" s="67">
        <f>200000000*0.8/60</f>
        <v>2666666.6666666665</v>
      </c>
      <c r="C83" s="11">
        <v>30</v>
      </c>
      <c r="D83" s="11">
        <v>30</v>
      </c>
      <c r="E83" s="11">
        <v>12</v>
      </c>
      <c r="F83" s="67">
        <f t="shared" si="53"/>
        <v>10800</v>
      </c>
      <c r="G83" s="68">
        <f t="shared" si="54"/>
        <v>246.91358024691357</v>
      </c>
      <c r="H83" s="67">
        <f t="shared" si="55"/>
        <v>4.05</v>
      </c>
      <c r="I83" s="69">
        <f t="shared" si="56"/>
        <v>14.814814814814815</v>
      </c>
      <c r="J83" s="69">
        <f>I83*0.25</f>
        <v>3.7037037037037037</v>
      </c>
      <c r="K83" s="69">
        <f>I83*0.0625</f>
        <v>0.92592592592592593</v>
      </c>
      <c r="L83" s="66" t="s">
        <v>1494</v>
      </c>
      <c r="M83" s="11" t="s">
        <v>1392</v>
      </c>
      <c r="N83" s="11" t="s">
        <v>1396</v>
      </c>
    </row>
    <row r="84" spans="2:14" x14ac:dyDescent="0.25">
      <c r="B84" s="67"/>
      <c r="F84" s="67"/>
      <c r="G84" s="67"/>
      <c r="H84" s="66"/>
      <c r="I84" s="69"/>
      <c r="J84" s="69"/>
      <c r="K84" s="69"/>
      <c r="L84" s="66"/>
    </row>
    <row r="85" spans="2:14" x14ac:dyDescent="0.25">
      <c r="B85" s="67">
        <f>20*60</f>
        <v>1200</v>
      </c>
      <c r="C85" s="11">
        <v>100</v>
      </c>
      <c r="D85" s="11">
        <v>100</v>
      </c>
      <c r="E85" s="11">
        <v>40</v>
      </c>
      <c r="F85" s="67">
        <f>C85*D85*E85</f>
        <v>400000</v>
      </c>
      <c r="G85" s="68">
        <f t="shared" ref="G85:G87" si="57">B85/F85</f>
        <v>3.0000000000000001E-3</v>
      </c>
      <c r="H85" s="67">
        <f t="shared" si="55"/>
        <v>333333.33333333331</v>
      </c>
      <c r="I85" s="69">
        <f>60/H85</f>
        <v>1.8000000000000001E-4</v>
      </c>
      <c r="J85" s="69"/>
      <c r="K85" s="69"/>
      <c r="L85" s="66" t="s">
        <v>1399</v>
      </c>
      <c r="M85" s="11" t="s">
        <v>1393</v>
      </c>
      <c r="N85" s="11" t="s">
        <v>1388</v>
      </c>
    </row>
    <row r="86" spans="2:14" x14ac:dyDescent="0.25">
      <c r="B86" s="67">
        <f>3000*0.8*6*3/60</f>
        <v>720</v>
      </c>
      <c r="C86" s="11">
        <v>100</v>
      </c>
      <c r="D86" s="11">
        <v>100</v>
      </c>
      <c r="E86" s="11">
        <v>40</v>
      </c>
      <c r="F86" s="67">
        <f t="shared" ref="F86:F87" si="58">C86*D86*E86</f>
        <v>400000</v>
      </c>
      <c r="G86" s="68">
        <f t="shared" si="57"/>
        <v>1.8E-3</v>
      </c>
      <c r="H86" s="67">
        <f t="shared" si="55"/>
        <v>555555.55555555562</v>
      </c>
      <c r="I86" s="69">
        <f t="shared" ref="I86:I87" si="59">60/H86</f>
        <v>1.0799999999999998E-4</v>
      </c>
      <c r="J86" s="69"/>
      <c r="K86" s="69"/>
      <c r="L86" s="66" t="s">
        <v>1399</v>
      </c>
      <c r="M86" s="11" t="s">
        <v>1393</v>
      </c>
      <c r="N86" s="11" t="s">
        <v>1395</v>
      </c>
    </row>
    <row r="87" spans="2:14" x14ac:dyDescent="0.25">
      <c r="B87" s="67">
        <f>200000000*0.8/60</f>
        <v>2666666.6666666665</v>
      </c>
      <c r="C87" s="11">
        <v>100</v>
      </c>
      <c r="D87" s="11">
        <v>100</v>
      </c>
      <c r="E87" s="11">
        <v>40</v>
      </c>
      <c r="F87" s="67">
        <f t="shared" si="58"/>
        <v>400000</v>
      </c>
      <c r="G87" s="68">
        <f t="shared" si="57"/>
        <v>6.6666666666666661</v>
      </c>
      <c r="H87" s="67">
        <f t="shared" si="55"/>
        <v>150</v>
      </c>
      <c r="I87" s="69">
        <f t="shared" si="59"/>
        <v>0.4</v>
      </c>
      <c r="J87" s="69"/>
      <c r="K87" s="69"/>
      <c r="L87" s="66" t="s">
        <v>1399</v>
      </c>
      <c r="M87" s="11" t="s">
        <v>1393</v>
      </c>
      <c r="N87" s="11" t="s">
        <v>1396</v>
      </c>
    </row>
    <row r="88" spans="2:14" x14ac:dyDescent="0.25">
      <c r="B88" s="11" t="s">
        <v>1492</v>
      </c>
    </row>
    <row r="89" spans="2:14" x14ac:dyDescent="0.25">
      <c r="B89" s="11" t="s">
        <v>1411</v>
      </c>
      <c r="F89" s="67"/>
      <c r="G89" s="68"/>
      <c r="H89" s="66"/>
      <c r="I89" s="66"/>
      <c r="J89" s="66"/>
      <c r="K89" s="66"/>
      <c r="L89" s="66"/>
    </row>
    <row r="90" spans="2:14" ht="63" x14ac:dyDescent="0.25">
      <c r="B90" s="62" t="s">
        <v>1410</v>
      </c>
      <c r="C90" s="63" t="s">
        <v>1385</v>
      </c>
      <c r="D90" s="63" t="s">
        <v>1386</v>
      </c>
      <c r="E90" s="63" t="s">
        <v>261</v>
      </c>
      <c r="F90" s="63" t="s">
        <v>1387</v>
      </c>
      <c r="G90" s="62" t="s">
        <v>1409</v>
      </c>
      <c r="H90" s="62" t="s">
        <v>1398</v>
      </c>
      <c r="I90" s="62" t="s">
        <v>1426</v>
      </c>
      <c r="J90" s="62" t="s">
        <v>1389</v>
      </c>
      <c r="K90" s="61" t="s">
        <v>1379</v>
      </c>
      <c r="L90" s="61" t="s">
        <v>840</v>
      </c>
    </row>
    <row r="91" spans="2:14" x14ac:dyDescent="0.25">
      <c r="B91" s="67">
        <f>20*60</f>
        <v>1200</v>
      </c>
      <c r="C91" s="11">
        <v>30</v>
      </c>
      <c r="D91" s="11">
        <v>30</v>
      </c>
      <c r="E91" s="11">
        <v>12</v>
      </c>
      <c r="F91" s="67">
        <v>10800</v>
      </c>
      <c r="G91" s="67">
        <f>B91</f>
        <v>1200</v>
      </c>
      <c r="H91" s="66">
        <f>1000/G91</f>
        <v>0.83333333333333337</v>
      </c>
      <c r="I91" s="70">
        <f>60/H91</f>
        <v>72</v>
      </c>
      <c r="J91" s="66" t="s">
        <v>1391</v>
      </c>
      <c r="K91" s="11" t="s">
        <v>1392</v>
      </c>
      <c r="L91" s="11" t="s">
        <v>1388</v>
      </c>
    </row>
    <row r="92" spans="2:14" x14ac:dyDescent="0.25">
      <c r="B92" s="67">
        <f>3000*0.8*6*3/60</f>
        <v>720</v>
      </c>
      <c r="C92" s="11">
        <v>30</v>
      </c>
      <c r="D92" s="11">
        <v>30</v>
      </c>
      <c r="E92" s="11">
        <v>12</v>
      </c>
      <c r="F92" s="67">
        <f t="shared" ref="F92:F93" si="60">C92*D92*E92</f>
        <v>10800</v>
      </c>
      <c r="G92" s="67">
        <f>B92</f>
        <v>720</v>
      </c>
      <c r="H92" s="66">
        <f t="shared" ref="H92:H97" si="61">1000/G92</f>
        <v>1.3888888888888888</v>
      </c>
      <c r="I92" s="70">
        <f t="shared" ref="I92:I97" si="62">60/H92</f>
        <v>43.2</v>
      </c>
      <c r="J92" s="66" t="s">
        <v>1391</v>
      </c>
      <c r="K92" s="11" t="s">
        <v>1392</v>
      </c>
      <c r="L92" s="11" t="s">
        <v>1395</v>
      </c>
    </row>
    <row r="93" spans="2:14" x14ac:dyDescent="0.25">
      <c r="B93" s="67">
        <f>200000000*0.8/60</f>
        <v>2666666.6666666665</v>
      </c>
      <c r="C93" s="11">
        <v>30</v>
      </c>
      <c r="D93" s="11">
        <v>30</v>
      </c>
      <c r="E93" s="11">
        <v>12</v>
      </c>
      <c r="F93" s="67">
        <f t="shared" si="60"/>
        <v>10800</v>
      </c>
      <c r="G93" s="67">
        <f>B93</f>
        <v>2666666.6666666665</v>
      </c>
      <c r="H93" s="66">
        <f t="shared" si="61"/>
        <v>3.7500000000000001E-4</v>
      </c>
      <c r="I93" s="70">
        <f t="shared" si="62"/>
        <v>160000</v>
      </c>
      <c r="J93" s="66" t="s">
        <v>1391</v>
      </c>
      <c r="K93" s="11" t="s">
        <v>1392</v>
      </c>
      <c r="L93" s="11" t="s">
        <v>1396</v>
      </c>
    </row>
    <row r="94" spans="2:14" x14ac:dyDescent="0.25">
      <c r="B94" s="67"/>
      <c r="F94" s="67"/>
      <c r="G94" s="67"/>
      <c r="H94" s="66"/>
      <c r="I94" s="70"/>
      <c r="J94" s="66"/>
    </row>
    <row r="95" spans="2:14" x14ac:dyDescent="0.25">
      <c r="B95" s="67">
        <f>20*60</f>
        <v>1200</v>
      </c>
      <c r="C95" s="11">
        <v>100</v>
      </c>
      <c r="D95" s="11">
        <v>100</v>
      </c>
      <c r="E95" s="11">
        <v>40</v>
      </c>
      <c r="F95" s="67">
        <f>C95*D95*E95</f>
        <v>400000</v>
      </c>
      <c r="G95" s="67">
        <f>B95</f>
        <v>1200</v>
      </c>
      <c r="H95" s="66">
        <f t="shared" si="61"/>
        <v>0.83333333333333337</v>
      </c>
      <c r="I95" s="70">
        <f t="shared" si="62"/>
        <v>72</v>
      </c>
      <c r="J95" s="66" t="s">
        <v>1391</v>
      </c>
      <c r="K95" s="11" t="s">
        <v>1393</v>
      </c>
      <c r="L95" s="11" t="s">
        <v>1388</v>
      </c>
    </row>
    <row r="96" spans="2:14" x14ac:dyDescent="0.25">
      <c r="B96" s="67">
        <f>3000*0.8*6*3/60</f>
        <v>720</v>
      </c>
      <c r="C96" s="11">
        <v>100</v>
      </c>
      <c r="D96" s="11">
        <v>100</v>
      </c>
      <c r="E96" s="11">
        <v>40</v>
      </c>
      <c r="F96" s="67">
        <f t="shared" ref="F96:F97" si="63">C96*D96*E96</f>
        <v>400000</v>
      </c>
      <c r="G96" s="67">
        <f>B96</f>
        <v>720</v>
      </c>
      <c r="H96" s="66">
        <f t="shared" si="61"/>
        <v>1.3888888888888888</v>
      </c>
      <c r="I96" s="70">
        <f t="shared" si="62"/>
        <v>43.2</v>
      </c>
      <c r="J96" s="66" t="s">
        <v>1391</v>
      </c>
      <c r="K96" s="11" t="s">
        <v>1393</v>
      </c>
      <c r="L96" s="11" t="s">
        <v>1395</v>
      </c>
    </row>
    <row r="97" spans="2:12" x14ac:dyDescent="0.25">
      <c r="B97" s="67">
        <f>200000000*0.8/60</f>
        <v>2666666.6666666665</v>
      </c>
      <c r="C97" s="11">
        <v>100</v>
      </c>
      <c r="D97" s="11">
        <v>100</v>
      </c>
      <c r="E97" s="11">
        <v>40</v>
      </c>
      <c r="F97" s="67">
        <f t="shared" si="63"/>
        <v>400000</v>
      </c>
      <c r="G97" s="67">
        <f>B97</f>
        <v>2666666.6666666665</v>
      </c>
      <c r="H97" s="66">
        <f t="shared" si="61"/>
        <v>3.7500000000000001E-4</v>
      </c>
      <c r="I97" s="70">
        <f t="shared" si="62"/>
        <v>160000</v>
      </c>
      <c r="J97" s="66" t="s">
        <v>1391</v>
      </c>
      <c r="K97" s="11" t="s">
        <v>1393</v>
      </c>
      <c r="L97" s="11" t="s">
        <v>1396</v>
      </c>
    </row>
    <row r="98" spans="2:12" x14ac:dyDescent="0.25">
      <c r="B98" s="67"/>
      <c r="F98" s="67"/>
      <c r="G98" s="67"/>
      <c r="H98" s="66"/>
      <c r="I98" s="70"/>
      <c r="J98" s="66"/>
    </row>
    <row r="99" spans="2:12" x14ac:dyDescent="0.25">
      <c r="B99" s="67" t="s">
        <v>1412</v>
      </c>
      <c r="F99" s="67"/>
      <c r="G99" s="68"/>
      <c r="H99" s="66"/>
      <c r="I99" s="66"/>
      <c r="J99" s="66"/>
    </row>
    <row r="100" spans="2:12" ht="63" x14ac:dyDescent="0.25">
      <c r="B100" s="62" t="s">
        <v>1410</v>
      </c>
      <c r="C100" s="62" t="s">
        <v>1400</v>
      </c>
      <c r="D100" s="62" t="s">
        <v>1401</v>
      </c>
      <c r="E100" s="62" t="s">
        <v>1402</v>
      </c>
      <c r="G100" s="62" t="s">
        <v>1409</v>
      </c>
      <c r="H100" s="62" t="s">
        <v>1398</v>
      </c>
      <c r="K100" s="11" t="s">
        <v>1643</v>
      </c>
    </row>
    <row r="101" spans="2:12" x14ac:dyDescent="0.25">
      <c r="B101" s="11">
        <v>1200</v>
      </c>
      <c r="C101" s="11">
        <v>1</v>
      </c>
      <c r="D101" s="11">
        <v>1</v>
      </c>
      <c r="E101" s="11">
        <f t="shared" ref="E101" si="64">C101*D101</f>
        <v>1</v>
      </c>
      <c r="G101" s="11">
        <f t="shared" ref="G101" si="65">B101*E101</f>
        <v>1200</v>
      </c>
      <c r="H101" s="67">
        <f t="shared" ref="H101" si="66">1000/G101</f>
        <v>0.83333333333333337</v>
      </c>
      <c r="I101" s="66" t="s">
        <v>1391</v>
      </c>
      <c r="J101" s="11" t="s">
        <v>1468</v>
      </c>
      <c r="K101" s="11">
        <f>E$101/E101</f>
        <v>1</v>
      </c>
      <c r="L101" s="11" t="s">
        <v>1644</v>
      </c>
    </row>
    <row r="102" spans="2:12" x14ac:dyDescent="0.25">
      <c r="B102" s="11">
        <v>1200</v>
      </c>
      <c r="C102" s="11">
        <v>0.25</v>
      </c>
      <c r="D102" s="11">
        <v>1</v>
      </c>
      <c r="E102" s="11">
        <f t="shared" ref="E102:E107" si="67">C102*D102</f>
        <v>0.25</v>
      </c>
      <c r="G102" s="11">
        <f t="shared" ref="G102:G107" si="68">B102*E102</f>
        <v>300</v>
      </c>
      <c r="H102" s="67">
        <f t="shared" ref="H102:H107" si="69">1000/G102</f>
        <v>3.3333333333333335</v>
      </c>
      <c r="I102" s="66" t="s">
        <v>1391</v>
      </c>
      <c r="J102" s="11" t="s">
        <v>1403</v>
      </c>
      <c r="K102" s="11">
        <f t="shared" ref="K102:K106" si="70">E$101/E102</f>
        <v>4</v>
      </c>
      <c r="L102" s="11" t="s">
        <v>1645</v>
      </c>
    </row>
    <row r="103" spans="2:12" x14ac:dyDescent="0.25">
      <c r="B103" s="11">
        <v>1200</v>
      </c>
      <c r="C103" s="11">
        <v>0.25</v>
      </c>
      <c r="D103" s="11">
        <v>0.25</v>
      </c>
      <c r="E103" s="11">
        <f t="shared" si="67"/>
        <v>6.25E-2</v>
      </c>
      <c r="G103" s="11">
        <f t="shared" si="68"/>
        <v>75</v>
      </c>
      <c r="H103" s="67">
        <f t="shared" si="69"/>
        <v>13.333333333333334</v>
      </c>
      <c r="I103" s="66" t="s">
        <v>1391</v>
      </c>
      <c r="J103" s="11" t="s">
        <v>1404</v>
      </c>
      <c r="K103" s="11">
        <f t="shared" si="70"/>
        <v>16</v>
      </c>
      <c r="L103" s="11" t="s">
        <v>1645</v>
      </c>
    </row>
    <row r="104" spans="2:12" x14ac:dyDescent="0.25">
      <c r="B104" s="11">
        <v>1200</v>
      </c>
      <c r="C104" s="11">
        <v>0.1</v>
      </c>
      <c r="D104" s="11">
        <v>1</v>
      </c>
      <c r="E104" s="11">
        <f t="shared" si="67"/>
        <v>0.1</v>
      </c>
      <c r="G104" s="11">
        <f t="shared" si="68"/>
        <v>120</v>
      </c>
      <c r="H104" s="67">
        <f t="shared" si="69"/>
        <v>8.3333333333333339</v>
      </c>
      <c r="I104" s="66" t="s">
        <v>1391</v>
      </c>
      <c r="J104" s="11" t="s">
        <v>1405</v>
      </c>
      <c r="K104" s="11">
        <f t="shared" si="70"/>
        <v>10</v>
      </c>
      <c r="L104" s="11" t="s">
        <v>1645</v>
      </c>
    </row>
    <row r="105" spans="2:12" x14ac:dyDescent="0.25">
      <c r="B105" s="11">
        <v>1200</v>
      </c>
      <c r="C105" s="11">
        <v>0.1</v>
      </c>
      <c r="D105" s="11">
        <v>0.1</v>
      </c>
      <c r="E105" s="11">
        <f t="shared" si="67"/>
        <v>1.0000000000000002E-2</v>
      </c>
      <c r="G105" s="11">
        <f t="shared" si="68"/>
        <v>12.000000000000002</v>
      </c>
      <c r="H105" s="67">
        <f t="shared" si="69"/>
        <v>83.333333333333314</v>
      </c>
      <c r="I105" s="66" t="s">
        <v>1391</v>
      </c>
      <c r="J105" s="11" t="s">
        <v>1406</v>
      </c>
      <c r="K105" s="11">
        <f t="shared" si="70"/>
        <v>99.999999999999986</v>
      </c>
      <c r="L105" s="11" t="s">
        <v>1645</v>
      </c>
    </row>
    <row r="106" spans="2:12" x14ac:dyDescent="0.25">
      <c r="B106" s="11">
        <v>1200</v>
      </c>
      <c r="C106" s="11">
        <v>0.01</v>
      </c>
      <c r="D106" s="11">
        <v>1</v>
      </c>
      <c r="E106" s="11">
        <f t="shared" si="67"/>
        <v>0.01</v>
      </c>
      <c r="G106" s="11">
        <f t="shared" si="68"/>
        <v>12</v>
      </c>
      <c r="H106" s="67">
        <f t="shared" si="69"/>
        <v>83.333333333333329</v>
      </c>
      <c r="I106" s="66" t="s">
        <v>1391</v>
      </c>
      <c r="J106" s="11" t="s">
        <v>1407</v>
      </c>
      <c r="K106" s="11">
        <f t="shared" si="70"/>
        <v>100</v>
      </c>
      <c r="L106" s="11" t="s">
        <v>1645</v>
      </c>
    </row>
    <row r="107" spans="2:12" x14ac:dyDescent="0.25">
      <c r="B107" s="11">
        <v>1200</v>
      </c>
      <c r="C107" s="11">
        <v>0.01</v>
      </c>
      <c r="D107" s="11">
        <v>0.1</v>
      </c>
      <c r="E107" s="11">
        <f t="shared" si="67"/>
        <v>1E-3</v>
      </c>
      <c r="G107" s="11">
        <f t="shared" si="68"/>
        <v>1.2</v>
      </c>
      <c r="H107" s="67">
        <f t="shared" si="69"/>
        <v>833.33333333333337</v>
      </c>
      <c r="I107" s="11" t="s">
        <v>403</v>
      </c>
      <c r="J107" s="11" t="s">
        <v>1408</v>
      </c>
      <c r="K107" s="11">
        <f>E$101/E107</f>
        <v>1000</v>
      </c>
      <c r="L107" s="11" t="s">
        <v>1645</v>
      </c>
    </row>
    <row r="109" spans="2:12" x14ac:dyDescent="0.25">
      <c r="B109" s="11" t="s">
        <v>1413</v>
      </c>
    </row>
    <row r="110" spans="2:12" ht="78.75" x14ac:dyDescent="0.25">
      <c r="B110" s="62" t="s">
        <v>1410</v>
      </c>
      <c r="C110" s="62" t="s">
        <v>1414</v>
      </c>
      <c r="D110" s="62"/>
      <c r="E110" s="62" t="s">
        <v>1402</v>
      </c>
      <c r="G110" s="62" t="s">
        <v>1409</v>
      </c>
      <c r="H110" s="62" t="s">
        <v>1398</v>
      </c>
      <c r="I110" s="62" t="s">
        <v>1415</v>
      </c>
      <c r="J110" s="63" t="s">
        <v>1389</v>
      </c>
      <c r="K110" s="63" t="s">
        <v>388</v>
      </c>
    </row>
    <row r="111" spans="2:12" x14ac:dyDescent="0.25">
      <c r="B111" s="67">
        <v>1200</v>
      </c>
      <c r="C111" s="67">
        <v>10800</v>
      </c>
      <c r="E111" s="71">
        <f>1/C111</f>
        <v>9.2592592592592588E-5</v>
      </c>
      <c r="G111" s="68">
        <f>E111*B111</f>
        <v>0.1111111111111111</v>
      </c>
      <c r="H111" s="67">
        <f t="shared" ref="H111:H114" si="71">1000/G111</f>
        <v>9000</v>
      </c>
    </row>
    <row r="112" spans="2:12" x14ac:dyDescent="0.25">
      <c r="B112" s="67">
        <v>1200</v>
      </c>
      <c r="C112" s="67">
        <v>400000</v>
      </c>
      <c r="E112" s="71">
        <f>1/C112</f>
        <v>2.5000000000000002E-6</v>
      </c>
      <c r="G112" s="68">
        <f>E112*B112</f>
        <v>3.0000000000000001E-3</v>
      </c>
      <c r="H112" s="67">
        <f t="shared" si="71"/>
        <v>333333.33333333331</v>
      </c>
    </row>
    <row r="113" spans="2:12" x14ac:dyDescent="0.25">
      <c r="B113" s="67">
        <f>200000000*0.8/60</f>
        <v>2666666.6666666665</v>
      </c>
      <c r="C113" s="67">
        <v>10800</v>
      </c>
      <c r="E113" s="71">
        <f>1/C113</f>
        <v>9.2592592592592588E-5</v>
      </c>
      <c r="G113" s="67">
        <f>E113*B113</f>
        <v>246.91358024691354</v>
      </c>
      <c r="H113" s="67">
        <f t="shared" si="71"/>
        <v>4.0500000000000007</v>
      </c>
      <c r="I113" s="61">
        <f>H113/0.0625</f>
        <v>64.800000000000011</v>
      </c>
      <c r="J113" s="66" t="s">
        <v>1391</v>
      </c>
      <c r="K113" s="11" t="s">
        <v>1416</v>
      </c>
    </row>
    <row r="114" spans="2:12" x14ac:dyDescent="0.25">
      <c r="B114" s="67">
        <f>200000000*0.8/60</f>
        <v>2666666.6666666665</v>
      </c>
      <c r="C114" s="67">
        <v>400000</v>
      </c>
      <c r="E114" s="71">
        <f>1/C114</f>
        <v>2.5000000000000002E-6</v>
      </c>
      <c r="G114" s="68">
        <f>E114*B114</f>
        <v>6.666666666666667</v>
      </c>
      <c r="H114" s="67">
        <f t="shared" si="71"/>
        <v>150</v>
      </c>
    </row>
    <row r="115" spans="2:12" x14ac:dyDescent="0.25">
      <c r="B115" s="67"/>
      <c r="C115" s="67"/>
      <c r="E115" s="71"/>
      <c r="G115" s="68"/>
      <c r="H115" s="67"/>
    </row>
    <row r="116" spans="2:12" x14ac:dyDescent="0.25">
      <c r="B116" s="63" t="s">
        <v>1365</v>
      </c>
      <c r="C116" s="63" t="s">
        <v>1367</v>
      </c>
      <c r="D116" s="63" t="s">
        <v>1366</v>
      </c>
    </row>
    <row r="117" spans="2:12" ht="47.25" x14ac:dyDescent="0.25">
      <c r="B117" s="62" t="s">
        <v>1359</v>
      </c>
      <c r="C117" s="62" t="s">
        <v>1431</v>
      </c>
      <c r="D117" s="62" t="s">
        <v>1360</v>
      </c>
      <c r="E117" s="62" t="s">
        <v>1428</v>
      </c>
      <c r="F117" s="62" t="s">
        <v>1427</v>
      </c>
      <c r="G117" s="62" t="s">
        <v>1429</v>
      </c>
      <c r="I117" s="62" t="s">
        <v>1440</v>
      </c>
      <c r="J117" s="62" t="s">
        <v>840</v>
      </c>
      <c r="L117" s="11" t="s">
        <v>1346</v>
      </c>
    </row>
    <row r="118" spans="2:12" x14ac:dyDescent="0.25">
      <c r="B118" s="11">
        <f>20*60</f>
        <v>1200</v>
      </c>
      <c r="C118" s="11">
        <v>6</v>
      </c>
      <c r="D118" s="66">
        <f>B118/(C118*C118)</f>
        <v>33.333333333333336</v>
      </c>
      <c r="E118" s="11">
        <v>0.25</v>
      </c>
      <c r="F118" s="66">
        <f>D118*E118</f>
        <v>8.3333333333333339</v>
      </c>
      <c r="G118" s="11">
        <f>1000/F118</f>
        <v>119.99999999999999</v>
      </c>
      <c r="I118" s="11" t="s">
        <v>1438</v>
      </c>
      <c r="J118" s="11" t="s">
        <v>1432</v>
      </c>
      <c r="L118" s="11" t="s">
        <v>1364</v>
      </c>
    </row>
    <row r="119" spans="2:12" x14ac:dyDescent="0.25">
      <c r="B119" s="11">
        <f t="shared" ref="B119:B123" si="72">20*60</f>
        <v>1200</v>
      </c>
      <c r="C119" s="11">
        <v>6</v>
      </c>
      <c r="D119" s="66">
        <f t="shared" ref="D119:D122" si="73">B119/(C119*C119)</f>
        <v>33.333333333333336</v>
      </c>
      <c r="E119" s="11">
        <v>6.25E-2</v>
      </c>
      <c r="F119" s="66">
        <f t="shared" ref="F119:F123" si="74">D119*E119</f>
        <v>2.0833333333333335</v>
      </c>
      <c r="G119" s="11">
        <f t="shared" ref="G119:G123" si="75">1000/F119</f>
        <v>479.99999999999994</v>
      </c>
      <c r="I119" s="11" t="s">
        <v>1430</v>
      </c>
      <c r="J119" s="11" t="s">
        <v>1433</v>
      </c>
    </row>
    <row r="120" spans="2:12" x14ac:dyDescent="0.25">
      <c r="B120" s="11">
        <f t="shared" si="72"/>
        <v>1200</v>
      </c>
      <c r="C120" s="11">
        <v>6</v>
      </c>
      <c r="D120" s="66">
        <f t="shared" si="73"/>
        <v>33.333333333333336</v>
      </c>
      <c r="E120" s="11">
        <v>0.1</v>
      </c>
      <c r="F120" s="66">
        <f t="shared" si="74"/>
        <v>3.3333333333333339</v>
      </c>
      <c r="G120" s="11">
        <f t="shared" si="75"/>
        <v>299.99999999999994</v>
      </c>
      <c r="I120" s="11" t="s">
        <v>1438</v>
      </c>
      <c r="J120" s="11" t="s">
        <v>1434</v>
      </c>
      <c r="K120" s="11" t="s">
        <v>1362</v>
      </c>
    </row>
    <row r="121" spans="2:12" x14ac:dyDescent="0.25">
      <c r="B121" s="11">
        <f t="shared" si="72"/>
        <v>1200</v>
      </c>
      <c r="C121" s="11">
        <v>6</v>
      </c>
      <c r="D121" s="66">
        <f t="shared" si="73"/>
        <v>33.333333333333336</v>
      </c>
      <c r="E121" s="11">
        <v>0.01</v>
      </c>
      <c r="F121" s="66">
        <f t="shared" si="74"/>
        <v>0.33333333333333337</v>
      </c>
      <c r="G121" s="11">
        <f t="shared" si="75"/>
        <v>2999.9999999999995</v>
      </c>
      <c r="I121" s="11" t="s">
        <v>403</v>
      </c>
      <c r="J121" s="11" t="s">
        <v>1435</v>
      </c>
      <c r="K121" s="11" t="s">
        <v>1363</v>
      </c>
    </row>
    <row r="122" spans="2:12" x14ac:dyDescent="0.25">
      <c r="B122" s="11">
        <f t="shared" si="72"/>
        <v>1200</v>
      </c>
      <c r="C122" s="11">
        <v>6</v>
      </c>
      <c r="D122" s="66">
        <f t="shared" si="73"/>
        <v>33.333333333333336</v>
      </c>
      <c r="E122" s="11">
        <v>0.01</v>
      </c>
      <c r="F122" s="66">
        <f t="shared" si="74"/>
        <v>0.33333333333333337</v>
      </c>
      <c r="G122" s="11">
        <f t="shared" si="75"/>
        <v>2999.9999999999995</v>
      </c>
      <c r="I122" s="11" t="s">
        <v>403</v>
      </c>
      <c r="J122" s="11" t="s">
        <v>1436</v>
      </c>
      <c r="K122" s="11" t="s">
        <v>1345</v>
      </c>
    </row>
    <row r="123" spans="2:12" x14ac:dyDescent="0.25">
      <c r="B123" s="11">
        <f t="shared" si="72"/>
        <v>1200</v>
      </c>
      <c r="C123" s="11">
        <v>6</v>
      </c>
      <c r="D123" s="66">
        <f t="shared" ref="D123" si="76">B123/(C123*C123)</f>
        <v>33.333333333333336</v>
      </c>
      <c r="E123" s="11">
        <v>1E-3</v>
      </c>
      <c r="F123" s="66">
        <f t="shared" si="74"/>
        <v>3.333333333333334E-2</v>
      </c>
      <c r="G123" s="11">
        <f t="shared" si="75"/>
        <v>29999.999999999993</v>
      </c>
      <c r="I123" s="11" t="s">
        <v>1439</v>
      </c>
      <c r="J123" s="11" t="s">
        <v>1437</v>
      </c>
    </row>
    <row r="124" spans="2:12" x14ac:dyDescent="0.25">
      <c r="D124" s="64"/>
    </row>
    <row r="125" spans="2:12" x14ac:dyDescent="0.25">
      <c r="D125" s="64"/>
    </row>
    <row r="126" spans="2:12" x14ac:dyDescent="0.25">
      <c r="H126" s="67"/>
    </row>
    <row r="127" spans="2:12" x14ac:dyDescent="0.25">
      <c r="B127" s="63" t="s">
        <v>1418</v>
      </c>
      <c r="C127" s="63" t="s">
        <v>1419</v>
      </c>
      <c r="D127" s="63" t="s">
        <v>1414</v>
      </c>
      <c r="E127" s="63" t="s">
        <v>1420</v>
      </c>
      <c r="F127" s="63" t="s">
        <v>1421</v>
      </c>
      <c r="G127" s="63" t="s">
        <v>861</v>
      </c>
      <c r="H127" s="67"/>
    </row>
    <row r="128" spans="2:12" x14ac:dyDescent="0.25">
      <c r="B128" s="11">
        <v>10</v>
      </c>
      <c r="C128" s="11">
        <v>25</v>
      </c>
      <c r="D128" s="67">
        <v>10800</v>
      </c>
      <c r="E128" s="11">
        <f>B128*C128</f>
        <v>250</v>
      </c>
      <c r="F128" s="67">
        <f>E128*60</f>
        <v>15000</v>
      </c>
      <c r="G128" s="66">
        <f>F128/D128</f>
        <v>1.3888888888888888</v>
      </c>
      <c r="H128" s="11" t="s">
        <v>1422</v>
      </c>
    </row>
    <row r="129" spans="2:10" x14ac:dyDescent="0.25">
      <c r="B129" s="11">
        <v>10</v>
      </c>
      <c r="C129" s="11">
        <v>35</v>
      </c>
      <c r="D129" s="67">
        <v>10800</v>
      </c>
      <c r="E129" s="11">
        <f t="shared" ref="E129:E130" si="77">B129*C129</f>
        <v>350</v>
      </c>
      <c r="F129" s="67">
        <f t="shared" ref="F129:F130" si="78">E129*60</f>
        <v>21000</v>
      </c>
      <c r="G129" s="66">
        <f t="shared" ref="G129:G130" si="79">F129/D129</f>
        <v>1.9444444444444444</v>
      </c>
      <c r="H129" s="11" t="s">
        <v>1422</v>
      </c>
    </row>
    <row r="130" spans="2:10" x14ac:dyDescent="0.25">
      <c r="B130" s="11">
        <v>60</v>
      </c>
      <c r="C130" s="11">
        <v>70</v>
      </c>
      <c r="D130" s="67">
        <v>10800</v>
      </c>
      <c r="E130" s="11">
        <f t="shared" si="77"/>
        <v>4200</v>
      </c>
      <c r="F130" s="67">
        <f t="shared" si="78"/>
        <v>252000</v>
      </c>
      <c r="G130" s="66">
        <f t="shared" si="79"/>
        <v>23.333333333333332</v>
      </c>
      <c r="H130" s="11" t="s">
        <v>1423</v>
      </c>
    </row>
    <row r="131" spans="2:10" x14ac:dyDescent="0.25">
      <c r="D131" s="67"/>
      <c r="F131" s="67"/>
      <c r="G131" s="66"/>
    </row>
    <row r="133" spans="2:10" x14ac:dyDescent="0.25">
      <c r="J133" s="28"/>
    </row>
    <row r="134" spans="2:10" ht="47.25" x14ac:dyDescent="0.25">
      <c r="B134" s="62" t="s">
        <v>1359</v>
      </c>
      <c r="C134" s="62" t="s">
        <v>1451</v>
      </c>
      <c r="D134" s="62" t="s">
        <v>1452</v>
      </c>
      <c r="E134" s="74" t="s">
        <v>1453</v>
      </c>
      <c r="F134" s="74" t="s">
        <v>1454</v>
      </c>
      <c r="G134" s="72" t="s">
        <v>540</v>
      </c>
    </row>
    <row r="135" spans="2:10" x14ac:dyDescent="0.25">
      <c r="B135" s="11">
        <v>1200</v>
      </c>
      <c r="C135" s="11">
        <v>60</v>
      </c>
      <c r="D135" s="11">
        <v>50</v>
      </c>
      <c r="E135" s="11">
        <f>B135*C135</f>
        <v>72000</v>
      </c>
      <c r="F135" s="11">
        <f>D135/60</f>
        <v>0.83333333333333337</v>
      </c>
      <c r="G135" s="73">
        <f>1-EXP(-1*(B135*C135)/(D135/60))</f>
        <v>1</v>
      </c>
    </row>
    <row r="136" spans="2:10" x14ac:dyDescent="0.25">
      <c r="B136" s="11">
        <v>1200</v>
      </c>
      <c r="C136" s="11">
        <v>60</v>
      </c>
      <c r="D136" s="11">
        <v>50</v>
      </c>
      <c r="E136" s="11">
        <f>B136*C136</f>
        <v>72000</v>
      </c>
      <c r="F136" s="11">
        <v>72000</v>
      </c>
      <c r="G136" s="75">
        <f>1-EXP(-(E136/F136))</f>
        <v>0.63212055882855767</v>
      </c>
    </row>
  </sheetData>
  <pageMargins left="0.7" right="0.7" top="0.75" bottom="0.75" header="0.3" footer="0.3"/>
  <pageSetup orientation="portrait" horizontalDpi="0"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1505C-1667-4D2E-B488-11716ECB15BD}">
  <dimension ref="A1:R90"/>
  <sheetViews>
    <sheetView workbookViewId="0"/>
  </sheetViews>
  <sheetFormatPr defaultRowHeight="15" x14ac:dyDescent="0.25"/>
  <cols>
    <col min="1" max="1" width="10.5703125" style="102" customWidth="1"/>
    <col min="2" max="2" width="11.140625" style="102" bestFit="1" customWidth="1"/>
    <col min="3" max="3" width="10.85546875" style="102" customWidth="1"/>
    <col min="4" max="4" width="12.28515625" style="102" customWidth="1"/>
    <col min="5" max="5" width="15" style="102" customWidth="1"/>
    <col min="6" max="6" width="15.140625" style="102" customWidth="1"/>
    <col min="7" max="7" width="12.28515625" style="102" customWidth="1"/>
    <col min="8" max="8" width="15.140625" style="102" customWidth="1"/>
    <col min="9" max="9" width="14" style="102" bestFit="1" customWidth="1"/>
    <col min="10" max="10" width="9.5703125" style="102" bestFit="1" customWidth="1"/>
    <col min="11" max="11" width="9" style="102" bestFit="1" customWidth="1"/>
    <col min="12" max="12" width="10.140625" style="102" bestFit="1" customWidth="1"/>
    <col min="13" max="14" width="6.140625" style="102" bestFit="1" customWidth="1"/>
    <col min="15" max="16" width="15" style="102" bestFit="1" customWidth="1"/>
    <col min="17" max="17" width="13.140625" style="102" bestFit="1" customWidth="1"/>
    <col min="18" max="16384" width="9.140625" style="102"/>
  </cols>
  <sheetData>
    <row r="1" spans="1:5" s="111" customFormat="1" x14ac:dyDescent="0.25">
      <c r="A1" s="110" t="s">
        <v>1594</v>
      </c>
    </row>
    <row r="3" spans="1:5" x14ac:dyDescent="0.25">
      <c r="A3" s="107">
        <v>6</v>
      </c>
      <c r="B3" s="105" t="s">
        <v>1563</v>
      </c>
    </row>
    <row r="4" spans="1:5" x14ac:dyDescent="0.25">
      <c r="A4" s="107">
        <v>8</v>
      </c>
      <c r="B4" s="105" t="s">
        <v>1564</v>
      </c>
    </row>
    <row r="5" spans="1:5" x14ac:dyDescent="0.25">
      <c r="A5" s="107">
        <v>20</v>
      </c>
      <c r="B5" s="105" t="s">
        <v>1565</v>
      </c>
    </row>
    <row r="6" spans="1:5" x14ac:dyDescent="0.25">
      <c r="A6" s="108">
        <f>'Outside P'!H51</f>
        <v>40</v>
      </c>
      <c r="B6" s="105" t="s">
        <v>1575</v>
      </c>
      <c r="E6" s="102" t="s">
        <v>1588</v>
      </c>
    </row>
    <row r="7" spans="1:5" x14ac:dyDescent="0.25">
      <c r="A7" s="108">
        <f>A3*A5*A6</f>
        <v>4800</v>
      </c>
      <c r="B7" s="105" t="s">
        <v>1576</v>
      </c>
    </row>
    <row r="8" spans="1:5" x14ac:dyDescent="0.25">
      <c r="A8" s="108">
        <f>A4*A5*A6</f>
        <v>6400</v>
      </c>
      <c r="B8" s="105" t="s">
        <v>1577</v>
      </c>
    </row>
    <row r="9" spans="1:5" x14ac:dyDescent="0.25">
      <c r="A9" s="108"/>
      <c r="B9" s="106"/>
    </row>
    <row r="10" spans="1:5" x14ac:dyDescent="0.25">
      <c r="A10" s="108"/>
      <c r="B10" s="106"/>
    </row>
    <row r="11" spans="1:5" x14ac:dyDescent="0.25">
      <c r="A11" s="107">
        <v>4</v>
      </c>
      <c r="B11" s="105" t="s">
        <v>1561</v>
      </c>
    </row>
    <row r="12" spans="1:5" x14ac:dyDescent="0.25">
      <c r="A12" s="107">
        <v>2</v>
      </c>
      <c r="B12" s="105" t="s">
        <v>1562</v>
      </c>
    </row>
    <row r="13" spans="1:5" x14ac:dyDescent="0.25">
      <c r="A13" s="114" t="s">
        <v>1598</v>
      </c>
      <c r="B13" s="105" t="s">
        <v>1599</v>
      </c>
    </row>
    <row r="14" spans="1:5" x14ac:dyDescent="0.25">
      <c r="A14" s="107"/>
      <c r="B14" s="105"/>
    </row>
    <row r="15" spans="1:5" x14ac:dyDescent="0.25">
      <c r="A15" s="107">
        <v>3</v>
      </c>
      <c r="B15" s="105" t="s">
        <v>1566</v>
      </c>
      <c r="E15" s="102" t="s">
        <v>1579</v>
      </c>
    </row>
    <row r="16" spans="1:5" x14ac:dyDescent="0.25">
      <c r="A16" s="107">
        <v>5</v>
      </c>
      <c r="B16" s="105" t="s">
        <v>1567</v>
      </c>
      <c r="E16" s="102" t="s">
        <v>1578</v>
      </c>
    </row>
    <row r="17" spans="1:5" x14ac:dyDescent="0.25">
      <c r="A17" s="108"/>
      <c r="B17" s="105"/>
    </row>
    <row r="18" spans="1:5" x14ac:dyDescent="0.25">
      <c r="A18" s="108">
        <f>'Droplet Dispersion'!B26</f>
        <v>20</v>
      </c>
      <c r="B18" s="105" t="s">
        <v>1571</v>
      </c>
      <c r="E18" s="102" t="s">
        <v>1589</v>
      </c>
    </row>
    <row r="19" spans="1:5" x14ac:dyDescent="0.25">
      <c r="A19" s="108">
        <f>A18*2</f>
        <v>40</v>
      </c>
      <c r="B19" s="105" t="s">
        <v>1572</v>
      </c>
      <c r="E19" s="102" t="s">
        <v>1590</v>
      </c>
    </row>
    <row r="20" spans="1:5" x14ac:dyDescent="0.25">
      <c r="A20" s="109">
        <f>'Droplet Dispersion'!B40</f>
        <v>43200</v>
      </c>
      <c r="B20" s="105" t="s">
        <v>1600</v>
      </c>
      <c r="E20" s="102" t="s">
        <v>1589</v>
      </c>
    </row>
    <row r="21" spans="1:5" x14ac:dyDescent="0.25">
      <c r="A21" s="109">
        <f>'Droplet Dispersion'!B51</f>
        <v>160000000</v>
      </c>
      <c r="B21" s="105" t="s">
        <v>1573</v>
      </c>
      <c r="E21" s="102" t="s">
        <v>1589</v>
      </c>
    </row>
    <row r="22" spans="1:5" x14ac:dyDescent="0.25">
      <c r="A22" s="108"/>
      <c r="B22" s="105"/>
    </row>
    <row r="23" spans="1:5" x14ac:dyDescent="0.25">
      <c r="A23" s="107">
        <v>1</v>
      </c>
      <c r="B23" s="105" t="s">
        <v>1601</v>
      </c>
    </row>
    <row r="24" spans="1:5" x14ac:dyDescent="0.25">
      <c r="A24" s="107">
        <v>2</v>
      </c>
      <c r="B24" s="105" t="s">
        <v>1570</v>
      </c>
    </row>
    <row r="25" spans="1:5" x14ac:dyDescent="0.25">
      <c r="A25" s="108"/>
      <c r="B25" s="105"/>
    </row>
    <row r="26" spans="1:5" x14ac:dyDescent="0.25">
      <c r="A26" s="109">
        <f>'Droplet Dispersion'!B12</f>
        <v>1000</v>
      </c>
      <c r="B26" s="105" t="s">
        <v>1574</v>
      </c>
      <c r="E26" s="102" t="s">
        <v>1569</v>
      </c>
    </row>
    <row r="28" spans="1:5" x14ac:dyDescent="0.25">
      <c r="A28" s="102" t="s">
        <v>1580</v>
      </c>
    </row>
    <row r="31" spans="1:5" s="111" customFormat="1" x14ac:dyDescent="0.25">
      <c r="A31" s="110" t="s">
        <v>1568</v>
      </c>
    </row>
    <row r="33" spans="1:9" ht="15.75" x14ac:dyDescent="0.25">
      <c r="B33" s="63" t="s">
        <v>1365</v>
      </c>
      <c r="C33" s="63"/>
      <c r="D33" s="63" t="s">
        <v>1367</v>
      </c>
      <c r="E33" s="63" t="s">
        <v>1366</v>
      </c>
      <c r="F33" s="11"/>
      <c r="I33" s="11"/>
    </row>
    <row r="34" spans="1:9" ht="63" x14ac:dyDescent="0.25">
      <c r="A34" s="103" t="s">
        <v>1469</v>
      </c>
      <c r="B34" s="62" t="s">
        <v>1359</v>
      </c>
      <c r="C34" s="62" t="s">
        <v>1357</v>
      </c>
      <c r="D34" s="62" t="s">
        <v>1360</v>
      </c>
      <c r="E34" s="62" t="s">
        <v>1585</v>
      </c>
      <c r="F34" s="62" t="s">
        <v>1596</v>
      </c>
      <c r="G34" s="115" t="s">
        <v>1467</v>
      </c>
      <c r="H34" s="62" t="s">
        <v>1585</v>
      </c>
      <c r="I34" s="62" t="s">
        <v>1595</v>
      </c>
    </row>
    <row r="35" spans="1:9" ht="15.75" x14ac:dyDescent="0.25">
      <c r="A35" s="103" t="s">
        <v>1581</v>
      </c>
      <c r="B35" s="67">
        <f>$A$18*60</f>
        <v>1200</v>
      </c>
      <c r="C35" s="11">
        <v>8</v>
      </c>
      <c r="D35" s="67">
        <f>B35/(C35*C35)</f>
        <v>18.75</v>
      </c>
      <c r="E35" s="67">
        <f>$A$26/D35</f>
        <v>53.333333333333336</v>
      </c>
      <c r="F35" s="63" t="s">
        <v>1391</v>
      </c>
      <c r="G35" s="102">
        <f>0.25^2</f>
        <v>6.25E-2</v>
      </c>
      <c r="H35" s="67">
        <f>E35/G35</f>
        <v>853.33333333333337</v>
      </c>
      <c r="I35" s="74" t="s">
        <v>403</v>
      </c>
    </row>
    <row r="36" spans="1:9" ht="15.75" x14ac:dyDescent="0.25">
      <c r="A36" s="103" t="s">
        <v>1582</v>
      </c>
      <c r="B36" s="67">
        <f>$A$19*60</f>
        <v>2400</v>
      </c>
      <c r="C36" s="11">
        <v>8</v>
      </c>
      <c r="D36" s="67">
        <f>B36/(C36*C36)</f>
        <v>37.5</v>
      </c>
      <c r="E36" s="67">
        <f>$A$26/D36</f>
        <v>26.666666666666668</v>
      </c>
      <c r="F36" s="63" t="s">
        <v>1391</v>
      </c>
      <c r="G36" s="102">
        <f t="shared" ref="G36:G38" si="0">0.25^2</f>
        <v>6.25E-2</v>
      </c>
      <c r="H36" s="67">
        <f t="shared" ref="H36:H37" si="1">E36/G36</f>
        <v>426.66666666666669</v>
      </c>
      <c r="I36" s="63" t="s">
        <v>1430</v>
      </c>
    </row>
    <row r="37" spans="1:9" ht="15.75" x14ac:dyDescent="0.25">
      <c r="A37" s="103" t="s">
        <v>1583</v>
      </c>
      <c r="B37" s="67">
        <f>$A$20/60</f>
        <v>720</v>
      </c>
      <c r="C37" s="11">
        <v>8</v>
      </c>
      <c r="D37" s="67">
        <f>(B37+B36)/(C37*C37)</f>
        <v>48.75</v>
      </c>
      <c r="E37" s="67">
        <f>$A$26/D37</f>
        <v>20.512820512820515</v>
      </c>
      <c r="F37" s="63" t="s">
        <v>1391</v>
      </c>
      <c r="G37" s="102">
        <f t="shared" si="0"/>
        <v>6.25E-2</v>
      </c>
      <c r="H37" s="67">
        <f t="shared" si="1"/>
        <v>328.20512820512823</v>
      </c>
      <c r="I37" s="63" t="s">
        <v>412</v>
      </c>
    </row>
    <row r="38" spans="1:9" ht="15.75" x14ac:dyDescent="0.25">
      <c r="A38" s="103" t="s">
        <v>1584</v>
      </c>
      <c r="B38" s="67">
        <f>$A$21/60</f>
        <v>2666666.6666666665</v>
      </c>
      <c r="C38" s="11">
        <v>8</v>
      </c>
      <c r="D38" s="67">
        <f>(B36+B38)/(C38*C38)</f>
        <v>41704.166666666664</v>
      </c>
      <c r="E38" s="112">
        <f>$A$26/D38</f>
        <v>2.3978419422519735E-2</v>
      </c>
      <c r="F38" s="63" t="s">
        <v>1391</v>
      </c>
      <c r="G38" s="102">
        <f t="shared" si="0"/>
        <v>6.25E-2</v>
      </c>
      <c r="H38" s="112">
        <f>($A$26/D38)/G38</f>
        <v>0.38365471076031576</v>
      </c>
      <c r="I38" s="63" t="s">
        <v>1391</v>
      </c>
    </row>
    <row r="39" spans="1:9" ht="15.75" x14ac:dyDescent="0.25">
      <c r="B39" s="11"/>
      <c r="C39" s="11"/>
      <c r="D39" s="64"/>
      <c r="E39" s="11"/>
      <c r="F39" s="11"/>
    </row>
    <row r="40" spans="1:9" ht="15.75" x14ac:dyDescent="0.25">
      <c r="A40" s="11" t="s">
        <v>1346</v>
      </c>
      <c r="B40" s="11"/>
      <c r="C40" s="11"/>
      <c r="D40" s="64"/>
      <c r="E40" s="11"/>
      <c r="F40" s="11"/>
      <c r="G40" s="11"/>
    </row>
    <row r="41" spans="1:9" ht="15.75" x14ac:dyDescent="0.25">
      <c r="A41" s="11" t="s">
        <v>1364</v>
      </c>
      <c r="B41" s="11"/>
      <c r="C41" s="11"/>
      <c r="D41" s="64"/>
      <c r="E41" s="11"/>
      <c r="F41" s="11"/>
      <c r="G41" s="11"/>
    </row>
    <row r="42" spans="1:9" ht="15.75" x14ac:dyDescent="0.25">
      <c r="A42" s="11" t="s">
        <v>1362</v>
      </c>
      <c r="B42" s="11"/>
      <c r="C42" s="11"/>
      <c r="D42" s="64"/>
      <c r="E42" s="11"/>
      <c r="F42" s="11"/>
      <c r="G42" s="11"/>
    </row>
    <row r="43" spans="1:9" ht="15.75" x14ac:dyDescent="0.25">
      <c r="A43" s="11" t="s">
        <v>1363</v>
      </c>
    </row>
    <row r="44" spans="1:9" ht="15.75" x14ac:dyDescent="0.25">
      <c r="A44" s="11" t="s">
        <v>1345</v>
      </c>
    </row>
    <row r="46" spans="1:9" s="111" customFormat="1" x14ac:dyDescent="0.25">
      <c r="A46" s="110" t="s">
        <v>1586</v>
      </c>
    </row>
    <row r="48" spans="1:9" ht="15.75" x14ac:dyDescent="0.25">
      <c r="B48" s="63" t="s">
        <v>244</v>
      </c>
      <c r="C48" s="63" t="s">
        <v>1350</v>
      </c>
      <c r="D48" s="63" t="s">
        <v>1352</v>
      </c>
      <c r="E48" s="63" t="s">
        <v>1352</v>
      </c>
      <c r="F48" s="63" t="s">
        <v>1351</v>
      </c>
      <c r="G48" s="63" t="s">
        <v>1349</v>
      </c>
      <c r="H48" s="11"/>
      <c r="I48" s="11"/>
    </row>
    <row r="49" spans="1:12" ht="78.75" x14ac:dyDescent="0.25">
      <c r="A49" s="103" t="s">
        <v>1469</v>
      </c>
      <c r="B49" s="63" t="s">
        <v>244</v>
      </c>
      <c r="C49" s="62" t="s">
        <v>1359</v>
      </c>
      <c r="D49" s="62" t="s">
        <v>1358</v>
      </c>
      <c r="E49" s="62" t="s">
        <v>1361</v>
      </c>
      <c r="F49" s="62" t="s">
        <v>1357</v>
      </c>
      <c r="G49" s="62" t="s">
        <v>1360</v>
      </c>
      <c r="H49" s="62" t="s">
        <v>1585</v>
      </c>
      <c r="I49" s="62" t="s">
        <v>1596</v>
      </c>
      <c r="J49" s="115" t="s">
        <v>1467</v>
      </c>
      <c r="K49" s="62" t="s">
        <v>1585</v>
      </c>
      <c r="L49" s="62" t="s">
        <v>1595</v>
      </c>
    </row>
    <row r="50" spans="1:12" ht="15.75" x14ac:dyDescent="0.25">
      <c r="A50" s="103" t="s">
        <v>1581</v>
      </c>
      <c r="B50" s="11">
        <v>1</v>
      </c>
      <c r="C50" s="67">
        <f>$A$18*60</f>
        <v>1200</v>
      </c>
      <c r="D50" s="11">
        <v>1</v>
      </c>
      <c r="E50" s="11">
        <f>D50*5280/60</f>
        <v>88</v>
      </c>
      <c r="F50" s="11">
        <v>6</v>
      </c>
      <c r="G50" s="66">
        <f>B50*C50/(E50*F50*F50)</f>
        <v>0.37878787878787878</v>
      </c>
      <c r="H50" s="67">
        <f>$A$26/G50</f>
        <v>2640</v>
      </c>
      <c r="I50" s="66" t="s">
        <v>1587</v>
      </c>
      <c r="J50" s="102">
        <f>0.25^2</f>
        <v>6.25E-2</v>
      </c>
      <c r="K50" s="67">
        <f>H50/J50</f>
        <v>42240</v>
      </c>
      <c r="L50" s="66" t="s">
        <v>1587</v>
      </c>
    </row>
    <row r="51" spans="1:12" ht="15.75" x14ac:dyDescent="0.25">
      <c r="A51" s="103" t="s">
        <v>1582</v>
      </c>
      <c r="B51" s="11">
        <v>1</v>
      </c>
      <c r="C51" s="67">
        <f>$A$19*60</f>
        <v>2400</v>
      </c>
      <c r="D51" s="11">
        <v>1</v>
      </c>
      <c r="E51" s="11">
        <f>D51*5280/60</f>
        <v>88</v>
      </c>
      <c r="F51" s="11">
        <v>6</v>
      </c>
      <c r="G51" s="66">
        <f>B51*C51/(E51*F51*F51)</f>
        <v>0.75757575757575757</v>
      </c>
      <c r="H51" s="67">
        <f>$A$26/G51</f>
        <v>1320</v>
      </c>
      <c r="I51" s="66" t="s">
        <v>1587</v>
      </c>
      <c r="J51" s="102">
        <f t="shared" ref="J51:J53" si="2">0.25^2</f>
        <v>6.25E-2</v>
      </c>
      <c r="K51" s="67">
        <f t="shared" ref="K51:K52" si="3">H51/J51</f>
        <v>21120</v>
      </c>
      <c r="L51" s="66" t="s">
        <v>1587</v>
      </c>
    </row>
    <row r="52" spans="1:12" ht="15.75" x14ac:dyDescent="0.25">
      <c r="A52" s="103" t="s">
        <v>1583</v>
      </c>
      <c r="B52" s="11">
        <v>1</v>
      </c>
      <c r="C52" s="67">
        <f>$A$20/60</f>
        <v>720</v>
      </c>
      <c r="D52" s="11">
        <f>D51</f>
        <v>1</v>
      </c>
      <c r="E52" s="11">
        <f t="shared" ref="E52" si="4">D52*5280/60</f>
        <v>88</v>
      </c>
      <c r="F52" s="11">
        <v>6</v>
      </c>
      <c r="G52" s="66">
        <f>B52*(C52+C51)/(E52*F52*F52)</f>
        <v>0.98484848484848486</v>
      </c>
      <c r="H52" s="67">
        <f>$A$26/G52</f>
        <v>1015.3846153846154</v>
      </c>
      <c r="I52" s="102" t="s">
        <v>1587</v>
      </c>
      <c r="J52" s="102">
        <f t="shared" si="2"/>
        <v>6.25E-2</v>
      </c>
      <c r="K52" s="67">
        <f t="shared" si="3"/>
        <v>16246.153846153846</v>
      </c>
      <c r="L52" s="102" t="s">
        <v>1587</v>
      </c>
    </row>
    <row r="53" spans="1:12" ht="15.75" x14ac:dyDescent="0.25">
      <c r="A53" s="103" t="s">
        <v>1584</v>
      </c>
      <c r="B53" s="102">
        <v>1</v>
      </c>
      <c r="C53" s="67">
        <f>$A$21/60</f>
        <v>2666666.6666666665</v>
      </c>
      <c r="D53" s="11">
        <v>1</v>
      </c>
      <c r="E53" s="11">
        <f t="shared" ref="E53" si="5">D53*5280/60</f>
        <v>88</v>
      </c>
      <c r="F53" s="11">
        <v>8</v>
      </c>
      <c r="G53" s="66">
        <f>B53*(C53+C51)/(E53*F53*F53)</f>
        <v>473.91098484848482</v>
      </c>
      <c r="H53" s="65">
        <f>$A$26/G53</f>
        <v>2.1101009091817367</v>
      </c>
      <c r="I53" s="104" t="s">
        <v>1391</v>
      </c>
      <c r="J53" s="102">
        <f t="shared" si="2"/>
        <v>6.25E-2</v>
      </c>
      <c r="K53" s="65">
        <f>($A$26/G53)/J53</f>
        <v>33.761614546907786</v>
      </c>
      <c r="L53" s="113" t="s">
        <v>1391</v>
      </c>
    </row>
    <row r="55" spans="1:12" ht="15.75" x14ac:dyDescent="0.25">
      <c r="A55" s="11" t="s">
        <v>1339</v>
      </c>
      <c r="B55" s="11"/>
      <c r="C55" s="11"/>
    </row>
    <row r="56" spans="1:12" ht="15.75" x14ac:dyDescent="0.25">
      <c r="A56" s="11" t="s">
        <v>1348</v>
      </c>
      <c r="B56" s="11"/>
      <c r="C56" s="11"/>
    </row>
    <row r="57" spans="1:12" ht="15.75" x14ac:dyDescent="0.25">
      <c r="A57" s="11" t="s">
        <v>1347</v>
      </c>
      <c r="B57" s="11"/>
      <c r="C57" s="11"/>
    </row>
    <row r="58" spans="1:12" ht="15.75" x14ac:dyDescent="0.25">
      <c r="A58" s="11" t="s">
        <v>1592</v>
      </c>
      <c r="B58" s="11"/>
      <c r="C58" s="11"/>
    </row>
    <row r="59" spans="1:12" ht="15.75" x14ac:dyDescent="0.25">
      <c r="A59" s="11" t="s">
        <v>1340</v>
      </c>
      <c r="B59" s="11"/>
      <c r="C59" s="11"/>
    </row>
    <row r="60" spans="1:12" ht="15.75" x14ac:dyDescent="0.25">
      <c r="A60" s="11"/>
      <c r="B60" s="11"/>
      <c r="C60" s="11"/>
    </row>
    <row r="61" spans="1:12" ht="15.75" x14ac:dyDescent="0.25">
      <c r="A61" s="11" t="s">
        <v>1354</v>
      </c>
      <c r="B61" s="11"/>
      <c r="C61" s="11" t="s">
        <v>1341</v>
      </c>
    </row>
    <row r="62" spans="1:12" ht="15.75" x14ac:dyDescent="0.25">
      <c r="A62" s="11" t="s">
        <v>1353</v>
      </c>
      <c r="B62" s="11"/>
      <c r="C62" s="11" t="s">
        <v>1342</v>
      </c>
    </row>
    <row r="63" spans="1:12" ht="15.75" x14ac:dyDescent="0.25">
      <c r="A63" s="11" t="s">
        <v>1355</v>
      </c>
      <c r="B63" s="11"/>
      <c r="C63" s="11" t="s">
        <v>1343</v>
      </c>
    </row>
    <row r="64" spans="1:12" ht="15.75" x14ac:dyDescent="0.25">
      <c r="A64" s="11" t="s">
        <v>1356</v>
      </c>
      <c r="B64" s="11"/>
      <c r="C64" s="11" t="s">
        <v>1344</v>
      </c>
    </row>
    <row r="65" spans="1:18" ht="15.75" x14ac:dyDescent="0.25">
      <c r="A65" s="11"/>
      <c r="B65" s="11"/>
      <c r="C65" s="11" t="s">
        <v>1591</v>
      </c>
    </row>
    <row r="66" spans="1:18" ht="15.75" x14ac:dyDescent="0.25">
      <c r="A66" s="11"/>
      <c r="B66" s="11"/>
      <c r="C66" s="11"/>
    </row>
    <row r="68" spans="1:18" s="111" customFormat="1" x14ac:dyDescent="0.25">
      <c r="A68" s="110" t="s">
        <v>1593</v>
      </c>
    </row>
    <row r="69" spans="1:18" s="117" customFormat="1" ht="57.75" x14ac:dyDescent="0.25">
      <c r="A69" s="103" t="s">
        <v>1469</v>
      </c>
      <c r="B69" s="116" t="s">
        <v>264</v>
      </c>
      <c r="C69" s="115" t="s">
        <v>1458</v>
      </c>
      <c r="D69" s="115" t="s">
        <v>1456</v>
      </c>
      <c r="E69" s="115" t="s">
        <v>1475</v>
      </c>
      <c r="F69" s="115" t="s">
        <v>1476</v>
      </c>
      <c r="G69" s="115" t="s">
        <v>1453</v>
      </c>
      <c r="H69" s="115" t="s">
        <v>1457</v>
      </c>
      <c r="I69" s="115" t="s">
        <v>1467</v>
      </c>
      <c r="J69" s="115" t="s">
        <v>1455</v>
      </c>
      <c r="K69" s="115" t="s">
        <v>1495</v>
      </c>
      <c r="L69" s="115" t="s">
        <v>1459</v>
      </c>
      <c r="M69" s="115" t="s">
        <v>1460</v>
      </c>
      <c r="N69" s="115" t="s">
        <v>861</v>
      </c>
      <c r="O69" s="115" t="s">
        <v>1470</v>
      </c>
      <c r="P69" s="115" t="s">
        <v>1597</v>
      </c>
      <c r="Q69" s="115"/>
      <c r="R69" s="115"/>
    </row>
    <row r="70" spans="1:18" x14ac:dyDescent="0.25">
      <c r="A70" s="103" t="s">
        <v>1581</v>
      </c>
      <c r="B70" s="118">
        <v>1</v>
      </c>
      <c r="C70" s="103">
        <v>366</v>
      </c>
      <c r="D70" s="119">
        <f>$F$81</f>
        <v>0.02</v>
      </c>
      <c r="E70" s="103">
        <f t="shared" ref="E70:E71" si="6">3600*4</f>
        <v>14400</v>
      </c>
      <c r="F70" s="102">
        <f>E70/3600</f>
        <v>4</v>
      </c>
      <c r="G70" s="120">
        <f t="shared" ref="G70:G73" si="7">B70*C70*D70*E70</f>
        <v>105408</v>
      </c>
      <c r="H70" s="120">
        <f>L70*12*12*12/3600</f>
        <v>8294400</v>
      </c>
      <c r="I70" s="121" t="s">
        <v>1468</v>
      </c>
      <c r="J70" s="122">
        <f t="shared" ref="J70:J73" si="8">(1-EXP(-G70/H70))</f>
        <v>1.2627923450899803E-2</v>
      </c>
      <c r="K70" s="123">
        <f t="shared" ref="K70:K73" si="9">J70</f>
        <v>1.2627923450899803E-2</v>
      </c>
      <c r="L70" s="120">
        <f>M70*N70</f>
        <v>17280000</v>
      </c>
      <c r="M70" s="124">
        <v>4800</v>
      </c>
      <c r="N70" s="125">
        <v>3600</v>
      </c>
      <c r="O70" s="120" t="s">
        <v>1477</v>
      </c>
      <c r="P70" s="103" t="s">
        <v>1430</v>
      </c>
      <c r="Q70" s="103"/>
      <c r="R70" s="120"/>
    </row>
    <row r="71" spans="1:18" x14ac:dyDescent="0.25">
      <c r="A71" s="103" t="s">
        <v>1582</v>
      </c>
      <c r="B71" s="118">
        <v>1</v>
      </c>
      <c r="C71" s="103">
        <v>366</v>
      </c>
      <c r="D71" s="119">
        <f>$F$82</f>
        <v>0.04</v>
      </c>
      <c r="E71" s="103">
        <f t="shared" si="6"/>
        <v>14400</v>
      </c>
      <c r="F71" s="102">
        <f>E71/3600</f>
        <v>4</v>
      </c>
      <c r="G71" s="120">
        <f t="shared" si="7"/>
        <v>210816</v>
      </c>
      <c r="H71" s="120">
        <f t="shared" ref="H71:H73" si="10">L71*12*12*12/3600</f>
        <v>8294400</v>
      </c>
      <c r="I71" s="121" t="s">
        <v>1468</v>
      </c>
      <c r="J71" s="122">
        <f t="shared" si="8"/>
        <v>2.5096382451117782E-2</v>
      </c>
      <c r="K71" s="126">
        <f t="shared" si="9"/>
        <v>2.5096382451117782E-2</v>
      </c>
      <c r="L71" s="120">
        <f t="shared" ref="L71:L73" si="11">M71*N71</f>
        <v>17280000</v>
      </c>
      <c r="M71" s="124">
        <v>4800</v>
      </c>
      <c r="N71" s="125">
        <v>3600</v>
      </c>
      <c r="O71" s="120" t="s">
        <v>1477</v>
      </c>
      <c r="P71" s="103" t="s">
        <v>1430</v>
      </c>
      <c r="Q71" s="103"/>
      <c r="R71" s="120"/>
    </row>
    <row r="72" spans="1:18" x14ac:dyDescent="0.25">
      <c r="A72" s="103" t="s">
        <v>1583</v>
      </c>
      <c r="B72" s="118">
        <v>1</v>
      </c>
      <c r="C72" s="103">
        <v>366</v>
      </c>
      <c r="D72" s="119">
        <f>$F$83</f>
        <v>5.2000000000000005E-2</v>
      </c>
      <c r="E72" s="103">
        <f>3600*4</f>
        <v>14400</v>
      </c>
      <c r="F72" s="102">
        <f t="shared" ref="F72:F73" si="12">E72/3600</f>
        <v>4</v>
      </c>
      <c r="G72" s="120">
        <f t="shared" si="7"/>
        <v>274060.79999999999</v>
      </c>
      <c r="H72" s="120">
        <f t="shared" si="10"/>
        <v>8294400</v>
      </c>
      <c r="I72" s="121" t="s">
        <v>1468</v>
      </c>
      <c r="J72" s="122">
        <f t="shared" si="8"/>
        <v>3.2501753677751988E-2</v>
      </c>
      <c r="K72" s="126">
        <f t="shared" si="9"/>
        <v>3.2501753677751988E-2</v>
      </c>
      <c r="L72" s="120">
        <f t="shared" si="11"/>
        <v>17280000</v>
      </c>
      <c r="M72" s="124">
        <v>4800</v>
      </c>
      <c r="N72" s="125">
        <v>3600</v>
      </c>
      <c r="O72" s="120" t="s">
        <v>1477</v>
      </c>
      <c r="P72" s="103" t="s">
        <v>1430</v>
      </c>
      <c r="Q72" s="103"/>
      <c r="R72" s="120"/>
    </row>
    <row r="73" spans="1:18" x14ac:dyDescent="0.25">
      <c r="A73" s="103" t="s">
        <v>1584</v>
      </c>
      <c r="B73" s="118">
        <v>1</v>
      </c>
      <c r="C73" s="103">
        <v>366</v>
      </c>
      <c r="D73" s="119">
        <f>$F$84</f>
        <v>44.484444444444442</v>
      </c>
      <c r="E73" s="103">
        <f>3600*4</f>
        <v>14400</v>
      </c>
      <c r="F73" s="102">
        <f t="shared" si="12"/>
        <v>4</v>
      </c>
      <c r="G73" s="120">
        <f t="shared" si="7"/>
        <v>234450815.99999997</v>
      </c>
      <c r="H73" s="120">
        <f t="shared" si="10"/>
        <v>8294400</v>
      </c>
      <c r="I73" s="121" t="s">
        <v>1468</v>
      </c>
      <c r="J73" s="122">
        <f t="shared" si="8"/>
        <v>0.99999999999947009</v>
      </c>
      <c r="K73" s="126">
        <f t="shared" si="9"/>
        <v>0.99999999999947009</v>
      </c>
      <c r="L73" s="120">
        <f t="shared" si="11"/>
        <v>17280000</v>
      </c>
      <c r="M73" s="124">
        <v>4800</v>
      </c>
      <c r="N73" s="125">
        <v>3600</v>
      </c>
      <c r="O73" s="120" t="s">
        <v>1477</v>
      </c>
      <c r="P73" s="103" t="s">
        <v>1391</v>
      </c>
      <c r="Q73" s="103"/>
      <c r="R73" s="120"/>
    </row>
    <row r="75" spans="1:18" x14ac:dyDescent="0.25">
      <c r="A75" s="103" t="s">
        <v>1581</v>
      </c>
      <c r="B75" s="118">
        <v>1</v>
      </c>
      <c r="C75" s="103">
        <v>366</v>
      </c>
      <c r="D75" s="119">
        <f>$F$81</f>
        <v>0.02</v>
      </c>
      <c r="E75" s="103">
        <f t="shared" ref="E75:E76" si="13">3600*4</f>
        <v>14400</v>
      </c>
      <c r="F75" s="102">
        <f>E75/3600</f>
        <v>4</v>
      </c>
      <c r="G75" s="120">
        <f t="shared" ref="G75:G78" si="14">B75*C75*D75*E75</f>
        <v>105408</v>
      </c>
      <c r="H75" s="120">
        <f>L75*12*12*12/3600</f>
        <v>8294400</v>
      </c>
      <c r="I75" s="121">
        <f>0.25*0.25</f>
        <v>6.25E-2</v>
      </c>
      <c r="J75" s="122">
        <f>I75*(1-EXP(-G75/H75))</f>
        <v>7.8924521568123768E-4</v>
      </c>
      <c r="K75" s="123">
        <f t="shared" ref="K75:K78" si="15">J75</f>
        <v>7.8924521568123768E-4</v>
      </c>
      <c r="L75" s="120">
        <f>M75*N75</f>
        <v>17280000</v>
      </c>
      <c r="M75" s="124">
        <v>4800</v>
      </c>
      <c r="N75" s="125">
        <v>3600</v>
      </c>
      <c r="O75" s="120" t="s">
        <v>1477</v>
      </c>
      <c r="P75" s="102" t="s">
        <v>1587</v>
      </c>
      <c r="Q75" s="103"/>
      <c r="R75" s="120"/>
    </row>
    <row r="76" spans="1:18" x14ac:dyDescent="0.25">
      <c r="A76" s="103" t="s">
        <v>1582</v>
      </c>
      <c r="B76" s="118">
        <v>1</v>
      </c>
      <c r="C76" s="103">
        <v>366</v>
      </c>
      <c r="D76" s="119">
        <f>$F$82</f>
        <v>0.04</v>
      </c>
      <c r="E76" s="103">
        <f t="shared" si="13"/>
        <v>14400</v>
      </c>
      <c r="F76" s="102">
        <f>E76/3600</f>
        <v>4</v>
      </c>
      <c r="G76" s="120">
        <f t="shared" si="14"/>
        <v>210816</v>
      </c>
      <c r="H76" s="120">
        <f t="shared" ref="H76:H78" si="16">L76*12*12*12/3600</f>
        <v>8294400</v>
      </c>
      <c r="I76" s="121">
        <f t="shared" ref="I76:I78" si="17">0.25*0.25</f>
        <v>6.25E-2</v>
      </c>
      <c r="J76" s="122">
        <f t="shared" ref="J76:J78" si="18">I76*(1-EXP(-G76/H76))</f>
        <v>1.5685239031948614E-3</v>
      </c>
      <c r="K76" s="126">
        <f t="shared" si="15"/>
        <v>1.5685239031948614E-3</v>
      </c>
      <c r="L76" s="120">
        <f t="shared" ref="L76:L78" si="19">M76*N76</f>
        <v>17280000</v>
      </c>
      <c r="M76" s="124">
        <v>4800</v>
      </c>
      <c r="N76" s="125">
        <v>3600</v>
      </c>
      <c r="O76" s="120" t="s">
        <v>1477</v>
      </c>
      <c r="P76" s="102" t="s">
        <v>403</v>
      </c>
      <c r="Q76" s="103"/>
      <c r="R76" s="120"/>
    </row>
    <row r="77" spans="1:18" x14ac:dyDescent="0.25">
      <c r="A77" s="103" t="s">
        <v>1583</v>
      </c>
      <c r="B77" s="118">
        <v>1</v>
      </c>
      <c r="C77" s="103">
        <v>366</v>
      </c>
      <c r="D77" s="119">
        <f>$F$83</f>
        <v>5.2000000000000005E-2</v>
      </c>
      <c r="E77" s="103">
        <f>3600*4</f>
        <v>14400</v>
      </c>
      <c r="F77" s="102">
        <f t="shared" ref="F77:F78" si="20">E77/3600</f>
        <v>4</v>
      </c>
      <c r="G77" s="120">
        <f t="shared" si="14"/>
        <v>274060.79999999999</v>
      </c>
      <c r="H77" s="120">
        <f t="shared" si="16"/>
        <v>8294400</v>
      </c>
      <c r="I77" s="121">
        <f t="shared" si="17"/>
        <v>6.25E-2</v>
      </c>
      <c r="J77" s="122">
        <f t="shared" si="18"/>
        <v>2.0313596048594992E-3</v>
      </c>
      <c r="K77" s="126">
        <f t="shared" si="15"/>
        <v>2.0313596048594992E-3</v>
      </c>
      <c r="L77" s="120">
        <f t="shared" si="19"/>
        <v>17280000</v>
      </c>
      <c r="M77" s="124">
        <v>4800</v>
      </c>
      <c r="N77" s="125">
        <v>3600</v>
      </c>
      <c r="O77" s="120" t="s">
        <v>1477</v>
      </c>
      <c r="P77" s="102" t="s">
        <v>403</v>
      </c>
      <c r="Q77" s="103"/>
      <c r="R77" s="120"/>
    </row>
    <row r="78" spans="1:18" x14ac:dyDescent="0.25">
      <c r="A78" s="103" t="s">
        <v>1584</v>
      </c>
      <c r="B78" s="118">
        <v>1</v>
      </c>
      <c r="C78" s="103">
        <v>366</v>
      </c>
      <c r="D78" s="119">
        <f>$F$84</f>
        <v>44.484444444444442</v>
      </c>
      <c r="E78" s="103">
        <f>3600*4</f>
        <v>14400</v>
      </c>
      <c r="F78" s="102">
        <f t="shared" si="20"/>
        <v>4</v>
      </c>
      <c r="G78" s="120">
        <f t="shared" si="14"/>
        <v>234450815.99999997</v>
      </c>
      <c r="H78" s="120">
        <f t="shared" si="16"/>
        <v>8294400</v>
      </c>
      <c r="I78" s="121">
        <f t="shared" si="17"/>
        <v>6.25E-2</v>
      </c>
      <c r="J78" s="122">
        <f t="shared" si="18"/>
        <v>6.2499999999966881E-2</v>
      </c>
      <c r="K78" s="126">
        <f t="shared" si="15"/>
        <v>6.2499999999966881E-2</v>
      </c>
      <c r="L78" s="120">
        <f t="shared" si="19"/>
        <v>17280000</v>
      </c>
      <c r="M78" s="124">
        <v>4800</v>
      </c>
      <c r="N78" s="125">
        <v>3600</v>
      </c>
      <c r="O78" s="120" t="s">
        <v>1477</v>
      </c>
      <c r="P78" s="103" t="s">
        <v>412</v>
      </c>
      <c r="Q78" s="103"/>
      <c r="R78" s="120"/>
    </row>
    <row r="80" spans="1:18" ht="29.25" x14ac:dyDescent="0.25">
      <c r="B80" s="115" t="s">
        <v>1482</v>
      </c>
      <c r="C80" s="115" t="s">
        <v>1462</v>
      </c>
      <c r="D80" s="115" t="s">
        <v>841</v>
      </c>
      <c r="E80" s="115" t="s">
        <v>1463</v>
      </c>
      <c r="F80" s="115" t="s">
        <v>1456</v>
      </c>
    </row>
    <row r="81" spans="1:8" x14ac:dyDescent="0.25">
      <c r="A81" s="103" t="s">
        <v>1581</v>
      </c>
      <c r="B81" s="102">
        <v>1000</v>
      </c>
      <c r="C81" s="102">
        <v>20</v>
      </c>
      <c r="D81" s="102">
        <v>1</v>
      </c>
      <c r="E81" s="102">
        <f>B81/(C81*D81)</f>
        <v>50</v>
      </c>
      <c r="F81" s="119">
        <f>D81/E81</f>
        <v>0.02</v>
      </c>
      <c r="H81" s="127" t="s">
        <v>1450</v>
      </c>
    </row>
    <row r="82" spans="1:8" x14ac:dyDescent="0.25">
      <c r="A82" s="103" t="s">
        <v>1582</v>
      </c>
      <c r="B82" s="102">
        <v>1000</v>
      </c>
      <c r="C82" s="102">
        <v>40</v>
      </c>
      <c r="D82" s="102">
        <v>1</v>
      </c>
      <c r="E82" s="102">
        <f>B82/(C82*D82)</f>
        <v>25</v>
      </c>
      <c r="F82" s="119">
        <f>D82/E82</f>
        <v>0.04</v>
      </c>
      <c r="H82" s="128" t="s">
        <v>1443</v>
      </c>
    </row>
    <row r="83" spans="1:8" x14ac:dyDescent="0.25">
      <c r="A83" s="103" t="s">
        <v>1583</v>
      </c>
      <c r="B83" s="102">
        <v>1000</v>
      </c>
      <c r="C83" s="102">
        <f>(($A$20/60)/60)+C82</f>
        <v>52</v>
      </c>
      <c r="D83" s="102">
        <v>1</v>
      </c>
      <c r="E83" s="102">
        <f t="shared" ref="E83:E84" si="21">B83/(C83*D83)</f>
        <v>19.23076923076923</v>
      </c>
      <c r="F83" s="119">
        <f t="shared" ref="F83:F84" si="22">D83/E83</f>
        <v>5.2000000000000005E-2</v>
      </c>
      <c r="H83" s="128" t="s">
        <v>1444</v>
      </c>
    </row>
    <row r="84" spans="1:8" x14ac:dyDescent="0.25">
      <c r="A84" s="103" t="s">
        <v>1584</v>
      </c>
      <c r="B84" s="102">
        <v>1000</v>
      </c>
      <c r="C84" s="120">
        <f>(($A$21/60)/60)+C82</f>
        <v>44484.444444444445</v>
      </c>
      <c r="D84" s="102">
        <v>1</v>
      </c>
      <c r="E84" s="102">
        <f t="shared" si="21"/>
        <v>2.247976820861225E-2</v>
      </c>
      <c r="F84" s="119">
        <f t="shared" si="22"/>
        <v>44.484444444444442</v>
      </c>
      <c r="H84" s="128" t="s">
        <v>1445</v>
      </c>
    </row>
    <row r="85" spans="1:8" x14ac:dyDescent="0.25">
      <c r="H85" s="128" t="s">
        <v>1442</v>
      </c>
    </row>
    <row r="86" spans="1:8" x14ac:dyDescent="0.25">
      <c r="H86" s="128" t="s">
        <v>1446</v>
      </c>
    </row>
    <row r="87" spans="1:8" x14ac:dyDescent="0.25">
      <c r="H87" s="128" t="s">
        <v>1446</v>
      </c>
    </row>
    <row r="88" spans="1:8" x14ac:dyDescent="0.25">
      <c r="H88" s="128" t="s">
        <v>1447</v>
      </c>
    </row>
    <row r="89" spans="1:8" x14ac:dyDescent="0.25">
      <c r="H89" s="128" t="s">
        <v>1448</v>
      </c>
    </row>
    <row r="90" spans="1:8" x14ac:dyDescent="0.25">
      <c r="H90" s="128" t="s">
        <v>1602</v>
      </c>
    </row>
  </sheetData>
  <pageMargins left="0.7" right="0.7" top="0.75" bottom="0.75" header="0.3" footer="0.3"/>
  <pageSetup orientation="portrait" horizontalDpi="0"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C59AD-9FFE-42E6-9AAD-DAA777B6CFA4}">
  <dimension ref="A2:S59"/>
  <sheetViews>
    <sheetView workbookViewId="0"/>
  </sheetViews>
  <sheetFormatPr defaultRowHeight="15" x14ac:dyDescent="0.25"/>
  <cols>
    <col min="1" max="1" width="4" bestFit="1" customWidth="1"/>
    <col min="3" max="3" width="6.7109375" bestFit="1" customWidth="1"/>
    <col min="9" max="9" width="9.5703125" bestFit="1" customWidth="1"/>
    <col min="11" max="11" width="13.85546875" bestFit="1" customWidth="1"/>
    <col min="12" max="12" width="9.140625" style="28"/>
    <col min="13" max="13" width="8.5703125" style="28" bestFit="1" customWidth="1"/>
    <col min="14" max="15" width="11.140625" bestFit="1" customWidth="1"/>
    <col min="17" max="17" width="10.140625" bestFit="1" customWidth="1"/>
    <col min="18" max="18" width="16.85546875" customWidth="1"/>
  </cols>
  <sheetData>
    <row r="2" spans="1:19" s="2" customFormat="1" ht="45" x14ac:dyDescent="0.25">
      <c r="A2" s="42" t="s">
        <v>264</v>
      </c>
      <c r="B2" s="42" t="s">
        <v>1458</v>
      </c>
      <c r="C2" s="42" t="s">
        <v>1456</v>
      </c>
      <c r="D2" s="42" t="s">
        <v>1475</v>
      </c>
      <c r="E2" s="42" t="s">
        <v>1476</v>
      </c>
      <c r="F2" s="42" t="s">
        <v>1453</v>
      </c>
      <c r="G2" s="42" t="s">
        <v>1457</v>
      </c>
      <c r="H2" s="42" t="s">
        <v>1467</v>
      </c>
      <c r="I2" s="42" t="s">
        <v>1455</v>
      </c>
      <c r="J2" s="42" t="s">
        <v>1495</v>
      </c>
      <c r="K2" s="42" t="s">
        <v>1459</v>
      </c>
      <c r="L2" s="42" t="s">
        <v>1460</v>
      </c>
      <c r="M2" s="42" t="s">
        <v>861</v>
      </c>
      <c r="N2" s="42" t="s">
        <v>13</v>
      </c>
      <c r="O2" s="42" t="s">
        <v>1263</v>
      </c>
      <c r="P2" s="42" t="s">
        <v>1461</v>
      </c>
      <c r="Q2" s="42" t="s">
        <v>10</v>
      </c>
      <c r="R2" s="42" t="s">
        <v>1470</v>
      </c>
      <c r="S2" s="42" t="s">
        <v>1469</v>
      </c>
    </row>
    <row r="3" spans="1:19" x14ac:dyDescent="0.25">
      <c r="A3">
        <v>1</v>
      </c>
      <c r="B3">
        <v>366</v>
      </c>
      <c r="C3" s="77">
        <f t="shared" ref="C3:C9" si="0">$H$35</f>
        <v>0.02</v>
      </c>
      <c r="D3">
        <f>3600*E3</f>
        <v>900</v>
      </c>
      <c r="E3" s="28">
        <v>0.25</v>
      </c>
      <c r="F3" s="30">
        <f t="shared" ref="F3:F5" si="1">A3*B3*C3*D3</f>
        <v>6588</v>
      </c>
      <c r="G3" s="30">
        <f t="shared" ref="G3:G8" si="2">K3*12*12*12/3600</f>
        <v>58924.800000000003</v>
      </c>
      <c r="H3" s="77">
        <f>0.25*0.25</f>
        <v>6.25E-2</v>
      </c>
      <c r="I3" s="76">
        <f>H3*(1-EXP(-F3/G3))</f>
        <v>6.6112539116644567E-3</v>
      </c>
      <c r="J3" s="57">
        <f>I3</f>
        <v>6.6112539116644567E-3</v>
      </c>
      <c r="K3" s="30">
        <f t="shared" ref="K3:K8" si="3">L3*M3</f>
        <v>122760</v>
      </c>
      <c r="L3" s="29">
        <v>4092</v>
      </c>
      <c r="M3" s="49">
        <v>30</v>
      </c>
      <c r="N3" s="30">
        <v>328000000</v>
      </c>
      <c r="O3" s="30">
        <f t="shared" ref="O3:O8" si="4">N3*(I3)</f>
        <v>2168491.2830259418</v>
      </c>
      <c r="P3">
        <v>3.5000000000000003E-2</v>
      </c>
      <c r="Q3" s="30">
        <f>O3*P3</f>
        <v>75897.194905907963</v>
      </c>
      <c r="R3" s="30" t="s">
        <v>263</v>
      </c>
      <c r="S3" t="s">
        <v>1526</v>
      </c>
    </row>
    <row r="4" spans="1:19" x14ac:dyDescent="0.25">
      <c r="A4">
        <v>1</v>
      </c>
      <c r="B4">
        <v>366</v>
      </c>
      <c r="C4" s="77">
        <f t="shared" si="0"/>
        <v>0.02</v>
      </c>
      <c r="D4">
        <f t="shared" ref="D4:D16" si="5">3600*E4</f>
        <v>900</v>
      </c>
      <c r="E4" s="28">
        <v>0.25</v>
      </c>
      <c r="F4" s="30">
        <f t="shared" ref="F4" si="6">A4*B4*C4*D4</f>
        <v>6588</v>
      </c>
      <c r="G4" s="30">
        <f t="shared" ref="G4" si="7">K4*12*12*12/3600</f>
        <v>39283.199999999997</v>
      </c>
      <c r="H4" s="77">
        <f>0.25*0.25</f>
        <v>6.25E-2</v>
      </c>
      <c r="I4" s="76">
        <f>H4*(1-EXP(-F4/G4))</f>
        <v>9.6498115453511682E-3</v>
      </c>
      <c r="J4" s="57">
        <f>I4</f>
        <v>9.6498115453511682E-3</v>
      </c>
      <c r="K4" s="30">
        <f t="shared" ref="K4" si="8">L4*M4</f>
        <v>81840</v>
      </c>
      <c r="L4" s="29">
        <v>4092</v>
      </c>
      <c r="M4" s="49">
        <v>20</v>
      </c>
      <c r="N4" s="30">
        <v>328000000</v>
      </c>
      <c r="O4" s="30">
        <f t="shared" si="4"/>
        <v>3165138.1868751831</v>
      </c>
      <c r="P4">
        <v>3.5000000000000003E-2</v>
      </c>
      <c r="Q4" s="30">
        <f>O4*P4</f>
        <v>110779.83654063143</v>
      </c>
      <c r="R4" s="30" t="s">
        <v>263</v>
      </c>
      <c r="S4" t="s">
        <v>1527</v>
      </c>
    </row>
    <row r="5" spans="1:19" x14ac:dyDescent="0.25">
      <c r="A5">
        <v>1</v>
      </c>
      <c r="B5">
        <v>366</v>
      </c>
      <c r="C5" s="77">
        <f t="shared" si="0"/>
        <v>0.02</v>
      </c>
      <c r="D5">
        <f t="shared" si="5"/>
        <v>1800</v>
      </c>
      <c r="E5" s="28">
        <v>0.5</v>
      </c>
      <c r="F5" s="30">
        <f t="shared" si="1"/>
        <v>13176</v>
      </c>
      <c r="G5" s="30">
        <f t="shared" si="2"/>
        <v>87624</v>
      </c>
      <c r="H5" s="77">
        <f t="shared" ref="H5:H9" si="9">0.25*0.25</f>
        <v>6.25E-2</v>
      </c>
      <c r="I5" s="76">
        <f t="shared" ref="I5" si="10">H5*(1-EXP(-F5/G5))</f>
        <v>8.7256388496882303E-3</v>
      </c>
      <c r="J5" s="57">
        <f t="shared" ref="J5" si="11">I5</f>
        <v>8.7256388496882303E-3</v>
      </c>
      <c r="K5" s="30">
        <f t="shared" si="3"/>
        <v>182550</v>
      </c>
      <c r="L5" s="29">
        <v>6085</v>
      </c>
      <c r="M5" s="49">
        <v>30</v>
      </c>
      <c r="N5" s="30">
        <v>328000000</v>
      </c>
      <c r="O5" s="30">
        <f t="shared" si="4"/>
        <v>2862009.5426977393</v>
      </c>
      <c r="P5">
        <f>P3</f>
        <v>3.5000000000000003E-2</v>
      </c>
      <c r="Q5" s="30">
        <f t="shared" ref="Q5" si="12">O5*P5</f>
        <v>100170.33399442089</v>
      </c>
      <c r="R5" s="30" t="s">
        <v>263</v>
      </c>
      <c r="S5" t="s">
        <v>1528</v>
      </c>
    </row>
    <row r="6" spans="1:19" x14ac:dyDescent="0.25">
      <c r="A6">
        <v>1</v>
      </c>
      <c r="B6">
        <v>366</v>
      </c>
      <c r="C6" s="77">
        <f t="shared" si="0"/>
        <v>0.02</v>
      </c>
      <c r="D6">
        <f t="shared" si="5"/>
        <v>1800</v>
      </c>
      <c r="E6" s="28">
        <v>0.5</v>
      </c>
      <c r="F6" s="30">
        <f t="shared" ref="F6" si="13">A6*B6*C6*D6</f>
        <v>13176</v>
      </c>
      <c r="G6" s="30">
        <f>K6*12*12*12/3600</f>
        <v>58416</v>
      </c>
      <c r="H6" s="77">
        <f>0.25*0.25</f>
        <v>6.25E-2</v>
      </c>
      <c r="I6" s="76">
        <f>H6*(1-EXP(-F6/G6))</f>
        <v>1.2620409345182396E-2</v>
      </c>
      <c r="J6" s="57">
        <f>I6</f>
        <v>1.2620409345182396E-2</v>
      </c>
      <c r="K6" s="30">
        <f>L6*M6</f>
        <v>121700</v>
      </c>
      <c r="L6" s="29">
        <v>6085</v>
      </c>
      <c r="M6" s="49">
        <v>20</v>
      </c>
      <c r="N6" s="30">
        <v>328000000</v>
      </c>
      <c r="O6" s="30">
        <f t="shared" si="4"/>
        <v>4139494.2652198258</v>
      </c>
      <c r="P6">
        <v>3.5000000000000003E-2</v>
      </c>
      <c r="Q6" s="30">
        <f>O6*P6</f>
        <v>144882.29928269392</v>
      </c>
      <c r="R6" s="30" t="s">
        <v>263</v>
      </c>
      <c r="S6" t="s">
        <v>1529</v>
      </c>
    </row>
    <row r="7" spans="1:19" x14ac:dyDescent="0.25">
      <c r="A7">
        <v>1</v>
      </c>
      <c r="B7">
        <v>366</v>
      </c>
      <c r="C7" s="77">
        <f t="shared" si="0"/>
        <v>0.02</v>
      </c>
      <c r="D7">
        <f t="shared" si="5"/>
        <v>900</v>
      </c>
      <c r="E7" s="28">
        <v>0.25</v>
      </c>
      <c r="F7" s="30">
        <f t="shared" ref="F7:F8" si="14">A7*B7*C7*D7</f>
        <v>6588</v>
      </c>
      <c r="G7" s="30">
        <f t="shared" si="2"/>
        <v>50688</v>
      </c>
      <c r="H7" s="77">
        <f>0.25*0.25</f>
        <v>6.25E-2</v>
      </c>
      <c r="I7" s="76">
        <f>H7*(1-EXP(-F7/G7))</f>
        <v>7.6174764270103973E-3</v>
      </c>
      <c r="J7" s="57">
        <f>I7</f>
        <v>7.6174764270103973E-3</v>
      </c>
      <c r="K7" s="30">
        <f t="shared" si="3"/>
        <v>105600</v>
      </c>
      <c r="L7" s="29">
        <v>3520</v>
      </c>
      <c r="M7" s="49">
        <v>30</v>
      </c>
      <c r="N7" s="30">
        <v>328000000</v>
      </c>
      <c r="O7" s="30">
        <f t="shared" si="4"/>
        <v>2498532.2680594102</v>
      </c>
      <c r="P7">
        <v>3.5000000000000003E-2</v>
      </c>
      <c r="Q7" s="30">
        <f>O7*P7</f>
        <v>87448.629382079365</v>
      </c>
      <c r="R7" s="30" t="s">
        <v>263</v>
      </c>
      <c r="S7" t="s">
        <v>1524</v>
      </c>
    </row>
    <row r="8" spans="1:19" x14ac:dyDescent="0.25">
      <c r="A8">
        <v>1</v>
      </c>
      <c r="B8">
        <v>366</v>
      </c>
      <c r="C8" s="77">
        <f t="shared" si="0"/>
        <v>0.02</v>
      </c>
      <c r="D8">
        <f t="shared" si="5"/>
        <v>900</v>
      </c>
      <c r="E8" s="28">
        <v>0.25</v>
      </c>
      <c r="F8" s="30">
        <f t="shared" si="14"/>
        <v>6588</v>
      </c>
      <c r="G8" s="30">
        <f t="shared" si="2"/>
        <v>60825.599999999999</v>
      </c>
      <c r="H8" s="77">
        <f t="shared" si="9"/>
        <v>6.25E-2</v>
      </c>
      <c r="I8" s="76">
        <f t="shared" ref="I8" si="15">H8*(1-EXP(-F8/G8))</f>
        <v>6.415644942706078E-3</v>
      </c>
      <c r="J8" s="57">
        <f t="shared" ref="J8" si="16">I8</f>
        <v>6.415644942706078E-3</v>
      </c>
      <c r="K8" s="30">
        <f t="shared" si="3"/>
        <v>126720</v>
      </c>
      <c r="L8" s="29">
        <v>5280</v>
      </c>
      <c r="M8" s="49">
        <v>24</v>
      </c>
      <c r="N8" s="30">
        <v>328000000</v>
      </c>
      <c r="O8" s="30">
        <f t="shared" si="4"/>
        <v>2104331.5412075934</v>
      </c>
      <c r="P8">
        <f>P7</f>
        <v>3.5000000000000003E-2</v>
      </c>
      <c r="Q8" s="30">
        <f t="shared" ref="Q8" si="17">O8*P8</f>
        <v>73651.603942265778</v>
      </c>
      <c r="R8" s="30" t="s">
        <v>263</v>
      </c>
      <c r="S8" t="s">
        <v>1525</v>
      </c>
    </row>
    <row r="9" spans="1:19" x14ac:dyDescent="0.25">
      <c r="A9">
        <v>1</v>
      </c>
      <c r="B9">
        <v>366</v>
      </c>
      <c r="C9" s="77">
        <f t="shared" si="0"/>
        <v>0.02</v>
      </c>
      <c r="D9">
        <f t="shared" ref="D9" si="18">3600*E9</f>
        <v>900</v>
      </c>
      <c r="E9" s="28">
        <v>0.25</v>
      </c>
      <c r="F9" s="30">
        <f t="shared" ref="F9" si="19">A9*B9*C9*D9</f>
        <v>6588</v>
      </c>
      <c r="G9" s="30">
        <f t="shared" ref="G9" si="20">K9*12*12*12/3600</f>
        <v>9123840</v>
      </c>
      <c r="H9" s="77">
        <f t="shared" si="9"/>
        <v>6.25E-2</v>
      </c>
      <c r="I9" s="76">
        <f t="shared" ref="I9" si="21">H9*(1-EXP(-F9/G9))</f>
        <v>4.5112735511138036E-5</v>
      </c>
      <c r="J9" s="57">
        <f t="shared" ref="J9" si="22">I9</f>
        <v>4.5112735511138036E-5</v>
      </c>
      <c r="K9" s="30">
        <f t="shared" ref="K9" si="23">L9*M9</f>
        <v>19008000</v>
      </c>
      <c r="L9" s="29">
        <v>5280</v>
      </c>
      <c r="M9" s="49">
        <v>3600</v>
      </c>
      <c r="N9" s="30">
        <v>328000000</v>
      </c>
      <c r="O9" s="30">
        <f t="shared" ref="O9" si="24">N9*(I9)</f>
        <v>14796.977247653276</v>
      </c>
      <c r="P9">
        <f>P8</f>
        <v>3.5000000000000003E-2</v>
      </c>
      <c r="Q9" s="30">
        <f t="shared" ref="Q9" si="25">O9*P9</f>
        <v>517.89420366786476</v>
      </c>
      <c r="R9" s="30" t="s">
        <v>263</v>
      </c>
      <c r="S9" t="s">
        <v>1531</v>
      </c>
    </row>
    <row r="10" spans="1:19" x14ac:dyDescent="0.25">
      <c r="C10" s="77"/>
      <c r="D10" s="28"/>
      <c r="F10" s="30"/>
      <c r="G10" s="30"/>
      <c r="H10" s="77"/>
      <c r="I10" s="76"/>
      <c r="J10" s="57"/>
      <c r="K10" s="30"/>
      <c r="L10" s="29"/>
      <c r="M10" s="49"/>
      <c r="N10" s="30"/>
      <c r="O10" s="30"/>
      <c r="Q10" s="30"/>
      <c r="R10" s="30"/>
    </row>
    <row r="11" spans="1:19" x14ac:dyDescent="0.25">
      <c r="A11">
        <v>1</v>
      </c>
      <c r="B11">
        <v>366</v>
      </c>
      <c r="C11" s="77">
        <f t="shared" ref="C11:C16" si="26">$H$35</f>
        <v>0.02</v>
      </c>
      <c r="D11">
        <f t="shared" si="5"/>
        <v>900</v>
      </c>
      <c r="E11" s="28">
        <v>0.25</v>
      </c>
      <c r="F11" s="30">
        <f t="shared" ref="F11:F16" si="27">A11*B11*C11*D11</f>
        <v>6588</v>
      </c>
      <c r="G11" s="30">
        <f t="shared" ref="G11:G13" si="28">K11*12*12*12/3600</f>
        <v>1964.16</v>
      </c>
      <c r="H11" s="77">
        <f>0.25*0.25</f>
        <v>6.25E-2</v>
      </c>
      <c r="I11" s="76">
        <f>H11*(1-EXP(-F11/G11))</f>
        <v>6.0316211997115614E-2</v>
      </c>
      <c r="J11" s="57">
        <f>I11</f>
        <v>6.0316211997115614E-2</v>
      </c>
      <c r="K11" s="30">
        <f t="shared" ref="K11:K13" si="29">L11*M11</f>
        <v>4092</v>
      </c>
      <c r="L11" s="29">
        <v>4092</v>
      </c>
      <c r="M11" s="49">
        <v>1</v>
      </c>
      <c r="N11" s="30">
        <v>328000000</v>
      </c>
      <c r="O11" s="30">
        <f t="shared" ref="O11:O16" si="30">N11*(I11)</f>
        <v>19783717.53505392</v>
      </c>
      <c r="P11">
        <v>3.5000000000000003E-2</v>
      </c>
      <c r="Q11" s="30">
        <f>O11*P11</f>
        <v>692430.11372688727</v>
      </c>
      <c r="R11" s="30" t="s">
        <v>1530</v>
      </c>
      <c r="S11" t="s">
        <v>1526</v>
      </c>
    </row>
    <row r="12" spans="1:19" x14ac:dyDescent="0.25">
      <c r="A12">
        <v>1</v>
      </c>
      <c r="B12">
        <v>366</v>
      </c>
      <c r="C12" s="77">
        <f t="shared" si="26"/>
        <v>0.02</v>
      </c>
      <c r="D12">
        <f t="shared" si="5"/>
        <v>900</v>
      </c>
      <c r="E12" s="28">
        <v>0.25</v>
      </c>
      <c r="F12" s="30">
        <f t="shared" si="27"/>
        <v>6588</v>
      </c>
      <c r="G12" s="30">
        <f t="shared" si="28"/>
        <v>1964.16</v>
      </c>
      <c r="H12" s="77">
        <f>0.25*0.25</f>
        <v>6.25E-2</v>
      </c>
      <c r="I12" s="76">
        <f>H12*(1-EXP(-F12/G12))</f>
        <v>6.0316211997115614E-2</v>
      </c>
      <c r="J12" s="57">
        <f>I12</f>
        <v>6.0316211997115614E-2</v>
      </c>
      <c r="K12" s="30">
        <f t="shared" si="29"/>
        <v>4092</v>
      </c>
      <c r="L12" s="29">
        <v>4092</v>
      </c>
      <c r="M12" s="49">
        <v>1</v>
      </c>
      <c r="N12" s="30">
        <v>328000000</v>
      </c>
      <c r="O12" s="30">
        <f t="shared" si="30"/>
        <v>19783717.53505392</v>
      </c>
      <c r="P12">
        <v>3.5000000000000003E-2</v>
      </c>
      <c r="Q12" s="30">
        <f>O12*P12</f>
        <v>692430.11372688727</v>
      </c>
      <c r="R12" s="30" t="s">
        <v>1530</v>
      </c>
      <c r="S12" t="s">
        <v>1527</v>
      </c>
    </row>
    <row r="13" spans="1:19" x14ac:dyDescent="0.25">
      <c r="A13">
        <v>1</v>
      </c>
      <c r="B13">
        <v>366</v>
      </c>
      <c r="C13" s="77">
        <f t="shared" si="26"/>
        <v>0.02</v>
      </c>
      <c r="D13">
        <f t="shared" si="5"/>
        <v>1800</v>
      </c>
      <c r="E13" s="28">
        <v>0.5</v>
      </c>
      <c r="F13" s="30">
        <f t="shared" si="27"/>
        <v>13176</v>
      </c>
      <c r="G13" s="30">
        <f t="shared" si="28"/>
        <v>2920.8</v>
      </c>
      <c r="H13" s="77">
        <f t="shared" ref="H13:H16" si="31">0.25*0.25</f>
        <v>6.25E-2</v>
      </c>
      <c r="I13" s="76">
        <f t="shared" ref="I13" si="32">H13*(1-EXP(-F13/G13))</f>
        <v>6.1813347058745881E-2</v>
      </c>
      <c r="J13" s="57">
        <f t="shared" ref="J13" si="33">I13</f>
        <v>6.1813347058745881E-2</v>
      </c>
      <c r="K13" s="30">
        <f t="shared" si="29"/>
        <v>6085</v>
      </c>
      <c r="L13" s="29">
        <v>6085</v>
      </c>
      <c r="M13" s="49">
        <v>1</v>
      </c>
      <c r="N13" s="30">
        <v>328000000</v>
      </c>
      <c r="O13" s="30">
        <f t="shared" si="30"/>
        <v>20274777.83526865</v>
      </c>
      <c r="P13">
        <f>P11</f>
        <v>3.5000000000000003E-2</v>
      </c>
      <c r="Q13" s="30">
        <f t="shared" ref="Q13" si="34">O13*P13</f>
        <v>709617.22423440288</v>
      </c>
      <c r="R13" s="30" t="s">
        <v>1530</v>
      </c>
      <c r="S13" t="s">
        <v>1528</v>
      </c>
    </row>
    <row r="14" spans="1:19" x14ac:dyDescent="0.25">
      <c r="A14">
        <v>1</v>
      </c>
      <c r="B14">
        <v>366</v>
      </c>
      <c r="C14" s="77">
        <f t="shared" si="26"/>
        <v>0.02</v>
      </c>
      <c r="D14">
        <f t="shared" si="5"/>
        <v>1800</v>
      </c>
      <c r="E14" s="28">
        <v>0.5</v>
      </c>
      <c r="F14" s="30">
        <f t="shared" si="27"/>
        <v>13176</v>
      </c>
      <c r="G14" s="30">
        <f>K14*12*12*12/3600</f>
        <v>2920.8</v>
      </c>
      <c r="H14" s="77">
        <f>0.25*0.25</f>
        <v>6.25E-2</v>
      </c>
      <c r="I14" s="76">
        <f>H14*(1-EXP(-F14/G14))</f>
        <v>6.1813347058745881E-2</v>
      </c>
      <c r="J14" s="57">
        <f>I14</f>
        <v>6.1813347058745881E-2</v>
      </c>
      <c r="K14" s="30">
        <f>L14*M14</f>
        <v>6085</v>
      </c>
      <c r="L14" s="29">
        <v>6085</v>
      </c>
      <c r="M14" s="49">
        <v>1</v>
      </c>
      <c r="N14" s="30">
        <v>328000000</v>
      </c>
      <c r="O14" s="30">
        <f t="shared" si="30"/>
        <v>20274777.83526865</v>
      </c>
      <c r="P14">
        <v>3.5000000000000003E-2</v>
      </c>
      <c r="Q14" s="30">
        <f>O14*P14</f>
        <v>709617.22423440288</v>
      </c>
      <c r="R14" s="30" t="s">
        <v>1530</v>
      </c>
      <c r="S14" t="s">
        <v>1529</v>
      </c>
    </row>
    <row r="15" spans="1:19" x14ac:dyDescent="0.25">
      <c r="A15">
        <v>1</v>
      </c>
      <c r="B15">
        <v>366</v>
      </c>
      <c r="C15" s="77">
        <f t="shared" si="26"/>
        <v>0.02</v>
      </c>
      <c r="D15">
        <f t="shared" si="5"/>
        <v>900</v>
      </c>
      <c r="E15" s="28">
        <v>0.25</v>
      </c>
      <c r="F15" s="30">
        <f t="shared" si="27"/>
        <v>6588</v>
      </c>
      <c r="G15" s="30">
        <f t="shared" ref="G15:G16" si="35">K15*12*12*12/3600</f>
        <v>1689.6</v>
      </c>
      <c r="H15" s="77">
        <f>0.25*0.25</f>
        <v>6.25E-2</v>
      </c>
      <c r="I15" s="76">
        <f>H15*(1-EXP(-F15/G15))</f>
        <v>6.1233801848217938E-2</v>
      </c>
      <c r="J15" s="57">
        <f>I15</f>
        <v>6.1233801848217938E-2</v>
      </c>
      <c r="K15" s="30">
        <f t="shared" ref="K15:K16" si="36">L15*M15</f>
        <v>3520</v>
      </c>
      <c r="L15" s="29">
        <v>3520</v>
      </c>
      <c r="M15" s="49">
        <v>1</v>
      </c>
      <c r="N15" s="30">
        <v>328000000</v>
      </c>
      <c r="O15" s="30">
        <f t="shared" si="30"/>
        <v>20084687.006215483</v>
      </c>
      <c r="P15">
        <v>3.5000000000000003E-2</v>
      </c>
      <c r="Q15" s="30">
        <f>O15*P15</f>
        <v>702964.04521754198</v>
      </c>
      <c r="R15" s="30" t="s">
        <v>1530</v>
      </c>
      <c r="S15" t="s">
        <v>1524</v>
      </c>
    </row>
    <row r="16" spans="1:19" x14ac:dyDescent="0.25">
      <c r="A16">
        <v>1</v>
      </c>
      <c r="B16">
        <v>366</v>
      </c>
      <c r="C16" s="77">
        <f t="shared" si="26"/>
        <v>0.02</v>
      </c>
      <c r="D16">
        <f t="shared" si="5"/>
        <v>900</v>
      </c>
      <c r="E16" s="28">
        <v>0.25</v>
      </c>
      <c r="F16" s="30">
        <f t="shared" si="27"/>
        <v>6588</v>
      </c>
      <c r="G16" s="30">
        <f t="shared" si="35"/>
        <v>2534.4</v>
      </c>
      <c r="H16" s="77">
        <f t="shared" si="31"/>
        <v>6.25E-2</v>
      </c>
      <c r="I16" s="76">
        <f t="shared" ref="I16" si="37">H16*(1-EXP(-F16/G16))</f>
        <v>5.7855263056111959E-2</v>
      </c>
      <c r="J16" s="57">
        <f t="shared" ref="J16" si="38">I16</f>
        <v>5.7855263056111959E-2</v>
      </c>
      <c r="K16" s="30">
        <f t="shared" si="36"/>
        <v>5280</v>
      </c>
      <c r="L16" s="29">
        <v>5280</v>
      </c>
      <c r="M16" s="49">
        <v>1</v>
      </c>
      <c r="N16" s="30">
        <v>328000000</v>
      </c>
      <c r="O16" s="30">
        <f t="shared" si="30"/>
        <v>18976526.282404725</v>
      </c>
      <c r="P16">
        <f>P15</f>
        <v>3.5000000000000003E-2</v>
      </c>
      <c r="Q16" s="30">
        <f t="shared" ref="Q16" si="39">O16*P16</f>
        <v>664178.4198841654</v>
      </c>
      <c r="R16" s="30" t="s">
        <v>1530</v>
      </c>
      <c r="S16" t="s">
        <v>1525</v>
      </c>
    </row>
    <row r="17" spans="1:19" x14ac:dyDescent="0.25">
      <c r="C17" s="77"/>
      <c r="D17" s="28"/>
      <c r="F17" s="30"/>
      <c r="G17" s="30"/>
      <c r="H17" s="77"/>
      <c r="I17" s="76"/>
      <c r="J17" s="57"/>
      <c r="K17" s="30"/>
      <c r="L17" s="29"/>
      <c r="M17" s="49"/>
      <c r="N17" s="30"/>
      <c r="O17" s="30"/>
      <c r="Q17" s="30"/>
      <c r="R17" s="30"/>
    </row>
    <row r="18" spans="1:19" x14ac:dyDescent="0.25">
      <c r="A18">
        <v>1</v>
      </c>
      <c r="B18">
        <v>366</v>
      </c>
      <c r="C18" s="77">
        <f t="shared" ref="C18:C24" si="40">$H$35</f>
        <v>0.02</v>
      </c>
      <c r="D18">
        <f>3600*E18</f>
        <v>900</v>
      </c>
      <c r="E18" s="28">
        <v>0.25</v>
      </c>
      <c r="F18" s="30">
        <f t="shared" ref="F18:F23" si="41">A18*B18*C18*D18</f>
        <v>6588</v>
      </c>
      <c r="G18" s="30">
        <f t="shared" ref="G18:G20" si="42">K18*12*12*12/3600</f>
        <v>58924.800000000003</v>
      </c>
      <c r="H18" s="77" t="s">
        <v>1468</v>
      </c>
      <c r="I18" s="76">
        <f t="shared" ref="I18:I23" si="43">(1-EXP(-F18/G18))</f>
        <v>0.10578006258663131</v>
      </c>
      <c r="J18" s="57">
        <f>I18</f>
        <v>0.10578006258663131</v>
      </c>
      <c r="K18" s="30">
        <f t="shared" ref="K18:K20" si="44">L18*M18</f>
        <v>122760</v>
      </c>
      <c r="L18" s="29">
        <v>4092</v>
      </c>
      <c r="M18" s="49">
        <v>30</v>
      </c>
      <c r="N18" s="30">
        <v>328000000</v>
      </c>
      <c r="O18" s="30">
        <f t="shared" ref="O18:O23" si="45">N18*(I18)</f>
        <v>34695860.528415069</v>
      </c>
      <c r="P18">
        <v>3.5000000000000003E-2</v>
      </c>
      <c r="Q18" s="30">
        <f>O18*P18</f>
        <v>1214355.1184945274</v>
      </c>
      <c r="R18" s="30" t="s">
        <v>263</v>
      </c>
      <c r="S18" t="s">
        <v>1526</v>
      </c>
    </row>
    <row r="19" spans="1:19" x14ac:dyDescent="0.25">
      <c r="A19">
        <v>1</v>
      </c>
      <c r="B19">
        <v>366</v>
      </c>
      <c r="C19" s="77">
        <f t="shared" si="40"/>
        <v>0.02</v>
      </c>
      <c r="D19">
        <f t="shared" ref="D19:D23" si="46">3600*E19</f>
        <v>900</v>
      </c>
      <c r="E19" s="28">
        <v>0.25</v>
      </c>
      <c r="F19" s="30">
        <f t="shared" si="41"/>
        <v>6588</v>
      </c>
      <c r="G19" s="30">
        <f t="shared" si="42"/>
        <v>39283.199999999997</v>
      </c>
      <c r="H19" s="77" t="s">
        <v>1468</v>
      </c>
      <c r="I19" s="76">
        <f t="shared" si="43"/>
        <v>0.15439698472561869</v>
      </c>
      <c r="J19" s="57">
        <f>I19</f>
        <v>0.15439698472561869</v>
      </c>
      <c r="K19" s="30">
        <f t="shared" si="44"/>
        <v>81840</v>
      </c>
      <c r="L19" s="29">
        <v>4092</v>
      </c>
      <c r="M19" s="49">
        <v>20</v>
      </c>
      <c r="N19" s="30">
        <v>328000000</v>
      </c>
      <c r="O19" s="30">
        <f t="shared" si="45"/>
        <v>50642210.99000293</v>
      </c>
      <c r="P19">
        <v>3.5000000000000003E-2</v>
      </c>
      <c r="Q19" s="30">
        <f>O19*P19</f>
        <v>1772477.3846501028</v>
      </c>
      <c r="R19" s="30" t="s">
        <v>263</v>
      </c>
      <c r="S19" t="s">
        <v>1527</v>
      </c>
    </row>
    <row r="20" spans="1:19" x14ac:dyDescent="0.25">
      <c r="A20">
        <v>1</v>
      </c>
      <c r="B20">
        <v>366</v>
      </c>
      <c r="C20" s="77">
        <f t="shared" si="40"/>
        <v>0.02</v>
      </c>
      <c r="D20">
        <f t="shared" si="46"/>
        <v>1800</v>
      </c>
      <c r="E20" s="28">
        <v>0.5</v>
      </c>
      <c r="F20" s="30">
        <f t="shared" si="41"/>
        <v>13176</v>
      </c>
      <c r="G20" s="30">
        <f t="shared" si="42"/>
        <v>87624</v>
      </c>
      <c r="H20" s="77" t="s">
        <v>1468</v>
      </c>
      <c r="I20" s="76">
        <f t="shared" si="43"/>
        <v>0.13961022159501169</v>
      </c>
      <c r="J20" s="57">
        <f t="shared" ref="J20" si="47">I20</f>
        <v>0.13961022159501169</v>
      </c>
      <c r="K20" s="30">
        <f t="shared" si="44"/>
        <v>182550</v>
      </c>
      <c r="L20" s="29">
        <v>6085</v>
      </c>
      <c r="M20" s="49">
        <v>30</v>
      </c>
      <c r="N20" s="30">
        <v>328000000</v>
      </c>
      <c r="O20" s="30">
        <f t="shared" si="45"/>
        <v>45792152.683163829</v>
      </c>
      <c r="P20">
        <f>P18</f>
        <v>3.5000000000000003E-2</v>
      </c>
      <c r="Q20" s="30">
        <f t="shared" ref="Q20" si="48">O20*P20</f>
        <v>1602725.3439107342</v>
      </c>
      <c r="R20" s="30" t="s">
        <v>263</v>
      </c>
      <c r="S20" t="s">
        <v>1528</v>
      </c>
    </row>
    <row r="21" spans="1:19" x14ac:dyDescent="0.25">
      <c r="A21">
        <v>1</v>
      </c>
      <c r="B21">
        <v>366</v>
      </c>
      <c r="C21" s="77">
        <f t="shared" si="40"/>
        <v>0.02</v>
      </c>
      <c r="D21">
        <f t="shared" si="46"/>
        <v>1800</v>
      </c>
      <c r="E21" s="28">
        <v>0.5</v>
      </c>
      <c r="F21" s="30">
        <f t="shared" si="41"/>
        <v>13176</v>
      </c>
      <c r="G21" s="30">
        <f>K21*12*12*12/3600</f>
        <v>58416</v>
      </c>
      <c r="H21" s="77" t="s">
        <v>1468</v>
      </c>
      <c r="I21" s="76">
        <f t="shared" si="43"/>
        <v>0.20192654952291833</v>
      </c>
      <c r="J21" s="57">
        <f>I21</f>
        <v>0.20192654952291833</v>
      </c>
      <c r="K21" s="30">
        <f>L21*M21</f>
        <v>121700</v>
      </c>
      <c r="L21" s="29">
        <v>6085</v>
      </c>
      <c r="M21" s="49">
        <v>20</v>
      </c>
      <c r="N21" s="30">
        <v>328000000</v>
      </c>
      <c r="O21" s="30">
        <f t="shared" si="45"/>
        <v>66231908.243517213</v>
      </c>
      <c r="P21">
        <v>3.5000000000000003E-2</v>
      </c>
      <c r="Q21" s="30">
        <f>O21*P21</f>
        <v>2318116.7885231026</v>
      </c>
      <c r="R21" s="30" t="s">
        <v>263</v>
      </c>
      <c r="S21" t="s">
        <v>1529</v>
      </c>
    </row>
    <row r="22" spans="1:19" x14ac:dyDescent="0.25">
      <c r="A22">
        <v>1</v>
      </c>
      <c r="B22">
        <v>366</v>
      </c>
      <c r="C22" s="77">
        <f t="shared" si="40"/>
        <v>0.02</v>
      </c>
      <c r="D22">
        <f t="shared" si="46"/>
        <v>900</v>
      </c>
      <c r="E22" s="28">
        <v>0.25</v>
      </c>
      <c r="F22" s="30">
        <f t="shared" si="41"/>
        <v>6588</v>
      </c>
      <c r="G22" s="30">
        <f t="shared" ref="G22:G23" si="49">K22*12*12*12/3600</f>
        <v>50688</v>
      </c>
      <c r="H22" s="77" t="s">
        <v>1468</v>
      </c>
      <c r="I22" s="76">
        <f t="shared" si="43"/>
        <v>0.12187962283216636</v>
      </c>
      <c r="J22" s="57">
        <f>I22</f>
        <v>0.12187962283216636</v>
      </c>
      <c r="K22" s="30">
        <f t="shared" ref="K22:K23" si="50">L22*M22</f>
        <v>105600</v>
      </c>
      <c r="L22" s="29">
        <v>3520</v>
      </c>
      <c r="M22" s="49">
        <v>30</v>
      </c>
      <c r="N22" s="30">
        <v>328000000</v>
      </c>
      <c r="O22" s="30">
        <f t="shared" si="45"/>
        <v>39976516.288950562</v>
      </c>
      <c r="P22">
        <v>3.5000000000000003E-2</v>
      </c>
      <c r="Q22" s="30">
        <f>O22*P22</f>
        <v>1399178.0701132698</v>
      </c>
      <c r="R22" s="30" t="s">
        <v>263</v>
      </c>
      <c r="S22" t="s">
        <v>1524</v>
      </c>
    </row>
    <row r="23" spans="1:19" x14ac:dyDescent="0.25">
      <c r="A23">
        <v>1</v>
      </c>
      <c r="B23">
        <v>366</v>
      </c>
      <c r="C23" s="77">
        <f t="shared" si="40"/>
        <v>0.02</v>
      </c>
      <c r="D23">
        <f t="shared" si="46"/>
        <v>900</v>
      </c>
      <c r="E23" s="28">
        <v>0.25</v>
      </c>
      <c r="F23" s="30">
        <f t="shared" si="41"/>
        <v>6588</v>
      </c>
      <c r="G23" s="30">
        <f t="shared" si="49"/>
        <v>60825.599999999999</v>
      </c>
      <c r="H23" s="77" t="s">
        <v>1468</v>
      </c>
      <c r="I23" s="76">
        <f t="shared" si="43"/>
        <v>0.10265031908329725</v>
      </c>
      <c r="J23" s="57">
        <f t="shared" ref="J23" si="51">I23</f>
        <v>0.10265031908329725</v>
      </c>
      <c r="K23" s="30">
        <f t="shared" si="50"/>
        <v>126720</v>
      </c>
      <c r="L23" s="29">
        <v>5280</v>
      </c>
      <c r="M23" s="49">
        <v>24</v>
      </c>
      <c r="N23" s="30">
        <v>328000000</v>
      </c>
      <c r="O23" s="30">
        <f t="shared" si="45"/>
        <v>33669304.659321494</v>
      </c>
      <c r="P23">
        <f>P22</f>
        <v>3.5000000000000003E-2</v>
      </c>
      <c r="Q23" s="30">
        <f t="shared" ref="Q23" si="52">O23*P23</f>
        <v>1178425.6630762524</v>
      </c>
      <c r="R23" s="30" t="s">
        <v>263</v>
      </c>
      <c r="S23" t="s">
        <v>1525</v>
      </c>
    </row>
    <row r="24" spans="1:19" x14ac:dyDescent="0.25">
      <c r="A24">
        <v>1</v>
      </c>
      <c r="B24">
        <v>366</v>
      </c>
      <c r="C24" s="77">
        <f t="shared" si="40"/>
        <v>0.02</v>
      </c>
      <c r="D24">
        <f t="shared" ref="D24" si="53">3600*E24</f>
        <v>900</v>
      </c>
      <c r="E24" s="28">
        <v>0.25</v>
      </c>
      <c r="F24" s="30">
        <f t="shared" ref="F24" si="54">A24*B24*C24*D24</f>
        <v>6588</v>
      </c>
      <c r="G24" s="30">
        <f t="shared" ref="G24" si="55">K24*12*12*12/3600</f>
        <v>9123840</v>
      </c>
      <c r="H24" s="77" t="s">
        <v>1468</v>
      </c>
      <c r="I24" s="76">
        <f t="shared" ref="I24" si="56">(1-EXP(-F24/G24))</f>
        <v>7.2180376817820857E-4</v>
      </c>
      <c r="J24" s="57">
        <f t="shared" ref="J24" si="57">I24</f>
        <v>7.2180376817820857E-4</v>
      </c>
      <c r="K24" s="30">
        <f t="shared" ref="K24" si="58">L24*M24</f>
        <v>19008000</v>
      </c>
      <c r="L24" s="29">
        <v>5280</v>
      </c>
      <c r="M24" s="49">
        <v>3600</v>
      </c>
      <c r="N24" s="30">
        <v>328000000</v>
      </c>
      <c r="O24" s="30">
        <f t="shared" ref="O24" si="59">N24*(I24)</f>
        <v>236751.63596245242</v>
      </c>
      <c r="P24">
        <f>P23</f>
        <v>3.5000000000000003E-2</v>
      </c>
      <c r="Q24" s="30">
        <f t="shared" ref="Q24" si="60">O24*P24</f>
        <v>8286.3072586858361</v>
      </c>
      <c r="R24" s="30" t="s">
        <v>263</v>
      </c>
      <c r="S24" t="s">
        <v>1531</v>
      </c>
    </row>
    <row r="25" spans="1:19" x14ac:dyDescent="0.25">
      <c r="C25" s="77"/>
      <c r="D25" s="28"/>
      <c r="F25" s="30"/>
      <c r="G25" s="30"/>
      <c r="H25" s="77"/>
      <c r="I25" s="76"/>
      <c r="J25" s="57"/>
      <c r="K25" s="30"/>
      <c r="L25" s="29"/>
      <c r="M25" s="49"/>
      <c r="N25" s="30"/>
      <c r="O25" s="30"/>
      <c r="Q25" s="30"/>
      <c r="R25" s="30"/>
    </row>
    <row r="26" spans="1:19" x14ac:dyDescent="0.25">
      <c r="A26">
        <v>1</v>
      </c>
      <c r="B26">
        <v>366</v>
      </c>
      <c r="C26" s="77">
        <f t="shared" ref="C26:C31" si="61">$H$35</f>
        <v>0.02</v>
      </c>
      <c r="D26">
        <f t="shared" ref="D26:D31" si="62">3600*E26</f>
        <v>900</v>
      </c>
      <c r="E26" s="28">
        <v>0.25</v>
      </c>
      <c r="F26" s="30">
        <f t="shared" ref="F26:F31" si="63">A26*B26*C26*D26</f>
        <v>6588</v>
      </c>
      <c r="G26" s="30">
        <f t="shared" ref="G26:G28" si="64">K26*12*12*12/3600</f>
        <v>1964.16</v>
      </c>
      <c r="H26" s="77" t="s">
        <v>1468</v>
      </c>
      <c r="I26" s="76">
        <f>(1-EXP(-F26/G26))</f>
        <v>0.96505939195384982</v>
      </c>
      <c r="J26" s="57">
        <f>I26</f>
        <v>0.96505939195384982</v>
      </c>
      <c r="K26" s="30">
        <f t="shared" ref="K26:K28" si="65">L26*M26</f>
        <v>4092</v>
      </c>
      <c r="L26" s="29">
        <v>4092</v>
      </c>
      <c r="M26" s="49">
        <v>1</v>
      </c>
      <c r="N26" s="30">
        <v>328000000</v>
      </c>
      <c r="O26" s="30">
        <f t="shared" ref="O26:O31" si="66">N26*(I26)</f>
        <v>316539480.56086272</v>
      </c>
      <c r="P26">
        <v>3.5000000000000003E-2</v>
      </c>
      <c r="Q26" s="30">
        <f>O26*P26</f>
        <v>11078881.819630196</v>
      </c>
      <c r="R26" s="30" t="s">
        <v>1530</v>
      </c>
      <c r="S26" t="s">
        <v>1526</v>
      </c>
    </row>
    <row r="27" spans="1:19" x14ac:dyDescent="0.25">
      <c r="A27">
        <v>1</v>
      </c>
      <c r="B27">
        <v>366</v>
      </c>
      <c r="C27" s="77">
        <f t="shared" si="61"/>
        <v>0.02</v>
      </c>
      <c r="D27">
        <f t="shared" si="62"/>
        <v>900</v>
      </c>
      <c r="E27" s="28">
        <v>0.25</v>
      </c>
      <c r="F27" s="30">
        <f t="shared" si="63"/>
        <v>6588</v>
      </c>
      <c r="G27" s="30">
        <f t="shared" si="64"/>
        <v>1964.16</v>
      </c>
      <c r="H27" s="77" t="s">
        <v>1468</v>
      </c>
      <c r="I27" s="76">
        <f t="shared" ref="I27:I31" si="67">(1-EXP(-F27/G27))</f>
        <v>0.96505939195384982</v>
      </c>
      <c r="J27" s="57">
        <f>I27</f>
        <v>0.96505939195384982</v>
      </c>
      <c r="K27" s="30">
        <f t="shared" si="65"/>
        <v>4092</v>
      </c>
      <c r="L27" s="29">
        <v>4092</v>
      </c>
      <c r="M27" s="49">
        <v>1</v>
      </c>
      <c r="N27" s="30">
        <v>328000000</v>
      </c>
      <c r="O27" s="30">
        <f t="shared" si="66"/>
        <v>316539480.56086272</v>
      </c>
      <c r="P27">
        <v>3.5000000000000003E-2</v>
      </c>
      <c r="Q27" s="30">
        <f>O27*P27</f>
        <v>11078881.819630196</v>
      </c>
      <c r="R27" s="30" t="s">
        <v>1530</v>
      </c>
      <c r="S27" t="s">
        <v>1527</v>
      </c>
    </row>
    <row r="28" spans="1:19" x14ac:dyDescent="0.25">
      <c r="A28">
        <v>1</v>
      </c>
      <c r="B28">
        <v>366</v>
      </c>
      <c r="C28" s="77">
        <f t="shared" si="61"/>
        <v>0.02</v>
      </c>
      <c r="D28">
        <f t="shared" si="62"/>
        <v>1800</v>
      </c>
      <c r="E28" s="28">
        <v>0.5</v>
      </c>
      <c r="F28" s="30">
        <f t="shared" si="63"/>
        <v>13176</v>
      </c>
      <c r="G28" s="30">
        <f t="shared" si="64"/>
        <v>2920.8</v>
      </c>
      <c r="H28" s="77" t="s">
        <v>1468</v>
      </c>
      <c r="I28" s="76">
        <f t="shared" si="67"/>
        <v>0.98901355293993409</v>
      </c>
      <c r="J28" s="57">
        <f t="shared" ref="J28" si="68">I28</f>
        <v>0.98901355293993409</v>
      </c>
      <c r="K28" s="30">
        <f t="shared" si="65"/>
        <v>6085</v>
      </c>
      <c r="L28" s="29">
        <v>6085</v>
      </c>
      <c r="M28" s="49">
        <v>1</v>
      </c>
      <c r="N28" s="30">
        <v>328000000</v>
      </c>
      <c r="O28" s="30">
        <f t="shared" si="66"/>
        <v>324396445.3642984</v>
      </c>
      <c r="P28">
        <f>P26</f>
        <v>3.5000000000000003E-2</v>
      </c>
      <c r="Q28" s="30">
        <f t="shared" ref="Q28" si="69">O28*P28</f>
        <v>11353875.587750446</v>
      </c>
      <c r="R28" s="30" t="s">
        <v>1530</v>
      </c>
      <c r="S28" t="s">
        <v>1528</v>
      </c>
    </row>
    <row r="29" spans="1:19" x14ac:dyDescent="0.25">
      <c r="A29">
        <v>1</v>
      </c>
      <c r="B29">
        <v>366</v>
      </c>
      <c r="C29" s="77">
        <f t="shared" si="61"/>
        <v>0.02</v>
      </c>
      <c r="D29">
        <f t="shared" si="62"/>
        <v>1800</v>
      </c>
      <c r="E29" s="28">
        <v>0.5</v>
      </c>
      <c r="F29" s="30">
        <f t="shared" si="63"/>
        <v>13176</v>
      </c>
      <c r="G29" s="30">
        <f>K29*12*12*12/3600</f>
        <v>2920.8</v>
      </c>
      <c r="H29" s="77" t="s">
        <v>1468</v>
      </c>
      <c r="I29" s="76">
        <f t="shared" si="67"/>
        <v>0.98901355293993409</v>
      </c>
      <c r="J29" s="57">
        <f>I29</f>
        <v>0.98901355293993409</v>
      </c>
      <c r="K29" s="30">
        <f>L29*M29</f>
        <v>6085</v>
      </c>
      <c r="L29" s="29">
        <v>6085</v>
      </c>
      <c r="M29" s="49">
        <v>1</v>
      </c>
      <c r="N29" s="30">
        <v>328000000</v>
      </c>
      <c r="O29" s="30">
        <f t="shared" si="66"/>
        <v>324396445.3642984</v>
      </c>
      <c r="P29">
        <v>3.5000000000000003E-2</v>
      </c>
      <c r="Q29" s="30">
        <f>O29*P29</f>
        <v>11353875.587750446</v>
      </c>
      <c r="R29" s="30" t="s">
        <v>1530</v>
      </c>
      <c r="S29" t="s">
        <v>1529</v>
      </c>
    </row>
    <row r="30" spans="1:19" x14ac:dyDescent="0.25">
      <c r="A30">
        <v>1</v>
      </c>
      <c r="B30">
        <v>366</v>
      </c>
      <c r="C30" s="77">
        <f t="shared" si="61"/>
        <v>0.02</v>
      </c>
      <c r="D30">
        <f t="shared" si="62"/>
        <v>900</v>
      </c>
      <c r="E30" s="28">
        <v>0.25</v>
      </c>
      <c r="F30" s="30">
        <f t="shared" si="63"/>
        <v>6588</v>
      </c>
      <c r="G30" s="30">
        <f t="shared" ref="G30:G31" si="70">K30*12*12*12/3600</f>
        <v>1689.6</v>
      </c>
      <c r="H30" s="77" t="s">
        <v>1468</v>
      </c>
      <c r="I30" s="76">
        <f t="shared" si="67"/>
        <v>0.979740829571487</v>
      </c>
      <c r="J30" s="57">
        <f>I30</f>
        <v>0.979740829571487</v>
      </c>
      <c r="K30" s="30">
        <f t="shared" ref="K30:K31" si="71">L30*M30</f>
        <v>3520</v>
      </c>
      <c r="L30" s="29">
        <v>3520</v>
      </c>
      <c r="M30" s="49">
        <v>1</v>
      </c>
      <c r="N30" s="30">
        <v>328000000</v>
      </c>
      <c r="O30" s="30">
        <f t="shared" si="66"/>
        <v>321354992.09944773</v>
      </c>
      <c r="P30">
        <v>3.5000000000000003E-2</v>
      </c>
      <c r="Q30" s="30">
        <f>O30*P30</f>
        <v>11247424.723480672</v>
      </c>
      <c r="R30" s="30" t="s">
        <v>1530</v>
      </c>
      <c r="S30" t="s">
        <v>1524</v>
      </c>
    </row>
    <row r="31" spans="1:19" x14ac:dyDescent="0.25">
      <c r="A31">
        <v>1</v>
      </c>
      <c r="B31">
        <v>366</v>
      </c>
      <c r="C31" s="77">
        <f t="shared" si="61"/>
        <v>0.02</v>
      </c>
      <c r="D31">
        <f t="shared" si="62"/>
        <v>900</v>
      </c>
      <c r="E31" s="28">
        <v>0.25</v>
      </c>
      <c r="F31" s="30">
        <f t="shared" si="63"/>
        <v>6588</v>
      </c>
      <c r="G31" s="30">
        <f t="shared" si="70"/>
        <v>2534.4</v>
      </c>
      <c r="H31" s="77" t="s">
        <v>1468</v>
      </c>
      <c r="I31" s="76">
        <f t="shared" si="67"/>
        <v>0.92568420889779135</v>
      </c>
      <c r="J31" s="57">
        <f t="shared" ref="J31" si="72">I31</f>
        <v>0.92568420889779135</v>
      </c>
      <c r="K31" s="30">
        <f t="shared" si="71"/>
        <v>5280</v>
      </c>
      <c r="L31" s="29">
        <v>5280</v>
      </c>
      <c r="M31" s="49">
        <v>1</v>
      </c>
      <c r="N31" s="30">
        <v>328000000</v>
      </c>
      <c r="O31" s="30">
        <f t="shared" si="66"/>
        <v>303624420.51847559</v>
      </c>
      <c r="P31">
        <f>P30</f>
        <v>3.5000000000000003E-2</v>
      </c>
      <c r="Q31" s="30">
        <f t="shared" ref="Q31" si="73">O31*P31</f>
        <v>10626854.718146646</v>
      </c>
      <c r="R31" s="30" t="s">
        <v>1530</v>
      </c>
      <c r="S31" t="s">
        <v>1525</v>
      </c>
    </row>
    <row r="32" spans="1:19" x14ac:dyDescent="0.25">
      <c r="C32" s="77"/>
      <c r="D32" s="28"/>
      <c r="F32" s="30"/>
      <c r="G32" s="30"/>
      <c r="H32" s="77"/>
      <c r="I32" s="76"/>
      <c r="J32" s="57"/>
      <c r="K32" s="30"/>
      <c r="L32" s="29"/>
      <c r="M32" s="49"/>
      <c r="N32" s="30"/>
      <c r="O32" s="30"/>
      <c r="Q32" s="30"/>
      <c r="R32" s="30"/>
    </row>
    <row r="33" spans="3:19" x14ac:dyDescent="0.25">
      <c r="C33" s="77"/>
      <c r="F33" s="30"/>
      <c r="G33" s="30"/>
      <c r="H33" s="30"/>
      <c r="I33" s="76"/>
      <c r="J33" s="76"/>
      <c r="K33" s="30"/>
      <c r="L33" s="29"/>
      <c r="M33" s="49"/>
      <c r="N33" s="30"/>
      <c r="O33" s="30"/>
      <c r="Q33" s="30"/>
      <c r="R33" s="30"/>
    </row>
    <row r="34" spans="3:19" s="2" customFormat="1" ht="30" x14ac:dyDescent="0.25">
      <c r="D34" s="42" t="s">
        <v>1482</v>
      </c>
      <c r="E34" s="42" t="s">
        <v>1462</v>
      </c>
      <c r="F34" s="42" t="s">
        <v>841</v>
      </c>
      <c r="G34" s="42" t="s">
        <v>1463</v>
      </c>
      <c r="H34" s="42" t="s">
        <v>1456</v>
      </c>
      <c r="L34" s="79"/>
      <c r="M34" s="79"/>
    </row>
    <row r="35" spans="3:19" x14ac:dyDescent="0.25">
      <c r="D35">
        <v>1000</v>
      </c>
      <c r="E35">
        <v>20</v>
      </c>
      <c r="F35">
        <v>1</v>
      </c>
      <c r="G35">
        <f>D35/(E35*F35)</f>
        <v>50</v>
      </c>
      <c r="H35" s="77">
        <f>F35/G35</f>
        <v>0.02</v>
      </c>
      <c r="S35" t="s">
        <v>1464</v>
      </c>
    </row>
    <row r="36" spans="3:19" x14ac:dyDescent="0.25">
      <c r="S36" s="28" t="s">
        <v>1450</v>
      </c>
    </row>
    <row r="37" spans="3:19" ht="15.75" x14ac:dyDescent="0.25">
      <c r="D37" s="32" t="s">
        <v>1385</v>
      </c>
      <c r="E37" s="32" t="s">
        <v>1386</v>
      </c>
      <c r="F37" s="32" t="s">
        <v>261</v>
      </c>
      <c r="G37" s="32" t="s">
        <v>1414</v>
      </c>
      <c r="S37" s="11" t="s">
        <v>1441</v>
      </c>
    </row>
    <row r="38" spans="3:19" ht="15.75" x14ac:dyDescent="0.25">
      <c r="D38">
        <v>30</v>
      </c>
      <c r="E38">
        <v>30</v>
      </c>
      <c r="F38">
        <v>12</v>
      </c>
      <c r="G38" s="30">
        <f>D38*E38*F38</f>
        <v>10800</v>
      </c>
      <c r="S38" s="11" t="s">
        <v>1443</v>
      </c>
    </row>
    <row r="39" spans="3:19" ht="15.75" x14ac:dyDescent="0.25">
      <c r="D39">
        <v>100</v>
      </c>
      <c r="E39">
        <v>100</v>
      </c>
      <c r="F39">
        <v>40</v>
      </c>
      <c r="G39" s="30">
        <f>D39*E39*F39</f>
        <v>400000</v>
      </c>
      <c r="S39" s="11" t="s">
        <v>1443</v>
      </c>
    </row>
    <row r="40" spans="3:19" ht="15.75" x14ac:dyDescent="0.25">
      <c r="D40">
        <v>1000</v>
      </c>
      <c r="E40">
        <v>100</v>
      </c>
      <c r="F40">
        <v>40</v>
      </c>
      <c r="G40" s="30">
        <f>D40*E40*F40</f>
        <v>4000000</v>
      </c>
      <c r="S40" s="11" t="s">
        <v>1444</v>
      </c>
    </row>
    <row r="41" spans="3:19" ht="15.75" x14ac:dyDescent="0.25">
      <c r="S41" s="11" t="s">
        <v>1445</v>
      </c>
    </row>
    <row r="42" spans="3:19" ht="30" x14ac:dyDescent="0.25">
      <c r="D42" s="79" t="s">
        <v>1487</v>
      </c>
      <c r="E42" s="32" t="s">
        <v>1488</v>
      </c>
      <c r="F42" s="32" t="s">
        <v>1489</v>
      </c>
      <c r="G42" s="32" t="s">
        <v>1490</v>
      </c>
      <c r="H42" s="32" t="s">
        <v>264</v>
      </c>
      <c r="I42" s="32" t="s">
        <v>1268</v>
      </c>
      <c r="J42" s="32"/>
      <c r="S42" s="11" t="s">
        <v>1442</v>
      </c>
    </row>
    <row r="43" spans="3:19" ht="15.75" x14ac:dyDescent="0.25">
      <c r="D43">
        <v>6</v>
      </c>
      <c r="E43" s="30">
        <f>30*30</f>
        <v>900</v>
      </c>
      <c r="F43" s="31">
        <f>E43/(D43*D43)</f>
        <v>25</v>
      </c>
      <c r="G43">
        <v>0.1</v>
      </c>
      <c r="H43" s="31">
        <f>F43*G43</f>
        <v>2.5</v>
      </c>
      <c r="S43" s="11" t="s">
        <v>1446</v>
      </c>
    </row>
    <row r="44" spans="3:19" ht="15.75" x14ac:dyDescent="0.25">
      <c r="D44">
        <v>6</v>
      </c>
      <c r="E44" s="30">
        <f>100*100</f>
        <v>10000</v>
      </c>
      <c r="F44" s="30">
        <f t="shared" ref="F44:F45" si="74">E44/(D44*D44)</f>
        <v>277.77777777777777</v>
      </c>
      <c r="G44">
        <v>0.1</v>
      </c>
      <c r="H44" s="30">
        <f t="shared" ref="H44:H45" si="75">F44*G44</f>
        <v>27.777777777777779</v>
      </c>
      <c r="S44" s="11" t="s">
        <v>1446</v>
      </c>
    </row>
    <row r="45" spans="3:19" ht="15.75" x14ac:dyDescent="0.25">
      <c r="D45">
        <v>6</v>
      </c>
      <c r="E45" s="30">
        <f>100*1000</f>
        <v>100000</v>
      </c>
      <c r="F45" s="30">
        <f t="shared" si="74"/>
        <v>2777.7777777777778</v>
      </c>
      <c r="G45">
        <v>0.1</v>
      </c>
      <c r="H45" s="30">
        <f t="shared" si="75"/>
        <v>277.77777777777777</v>
      </c>
      <c r="I45" t="s">
        <v>1491</v>
      </c>
      <c r="S45" s="11" t="s">
        <v>1447</v>
      </c>
    </row>
    <row r="46" spans="3:19" ht="15.75" x14ac:dyDescent="0.25">
      <c r="S46" s="11" t="s">
        <v>1448</v>
      </c>
    </row>
    <row r="47" spans="3:19" ht="15.75" x14ac:dyDescent="0.25">
      <c r="D47">
        <v>16</v>
      </c>
      <c r="E47" s="30">
        <f>30*30</f>
        <v>900</v>
      </c>
      <c r="F47" s="31">
        <f>E47/(D47*D47)</f>
        <v>3.515625</v>
      </c>
      <c r="G47">
        <v>0.1</v>
      </c>
      <c r="H47" s="80">
        <f>F47*G47</f>
        <v>0.3515625</v>
      </c>
      <c r="S47" s="11" t="s">
        <v>1449</v>
      </c>
    </row>
    <row r="48" spans="3:19" x14ac:dyDescent="0.25">
      <c r="D48">
        <v>16</v>
      </c>
      <c r="E48" s="30">
        <f>100*100</f>
        <v>10000</v>
      </c>
      <c r="F48" s="30">
        <f t="shared" ref="F48:F49" si="76">E48/(D48*D48)</f>
        <v>39.0625</v>
      </c>
      <c r="G48">
        <v>0.1</v>
      </c>
      <c r="H48" s="30">
        <f t="shared" ref="H48:H49" si="77">F48*G48</f>
        <v>3.90625</v>
      </c>
    </row>
    <row r="49" spans="3:11" x14ac:dyDescent="0.25">
      <c r="D49">
        <v>16</v>
      </c>
      <c r="E49" s="30">
        <f>100*1000</f>
        <v>100000</v>
      </c>
      <c r="F49" s="30">
        <f t="shared" si="76"/>
        <v>390.625</v>
      </c>
      <c r="G49">
        <v>0.1</v>
      </c>
      <c r="H49" s="30">
        <f t="shared" si="77"/>
        <v>39.0625</v>
      </c>
      <c r="I49" t="s">
        <v>1491</v>
      </c>
    </row>
    <row r="53" spans="3:11" x14ac:dyDescent="0.25">
      <c r="C53" s="82"/>
      <c r="D53" s="82" t="s">
        <v>1505</v>
      </c>
      <c r="E53" s="82"/>
      <c r="F53" s="82"/>
      <c r="G53" s="82"/>
      <c r="H53" s="82" t="s">
        <v>1516</v>
      </c>
      <c r="I53" s="82"/>
      <c r="J53" s="82"/>
      <c r="K53" s="82"/>
    </row>
    <row r="54" spans="3:11" ht="30" x14ac:dyDescent="0.25">
      <c r="C54" s="82"/>
      <c r="D54" s="81"/>
      <c r="E54" s="81" t="s">
        <v>1506</v>
      </c>
      <c r="F54" s="81" t="s">
        <v>1507</v>
      </c>
      <c r="G54" s="82"/>
      <c r="H54" s="385" t="s">
        <v>1523</v>
      </c>
      <c r="I54" s="385"/>
      <c r="J54" s="82" t="s">
        <v>1522</v>
      </c>
      <c r="K54" s="82" t="s">
        <v>1522</v>
      </c>
    </row>
    <row r="55" spans="3:11" ht="30" x14ac:dyDescent="0.25">
      <c r="C55" s="82"/>
      <c r="D55" s="83" t="s">
        <v>1508</v>
      </c>
      <c r="E55" s="81" t="s">
        <v>1509</v>
      </c>
      <c r="F55" s="83" t="s">
        <v>1510</v>
      </c>
      <c r="G55" s="82"/>
      <c r="H55" s="81" t="s">
        <v>1517</v>
      </c>
      <c r="I55" s="83">
        <v>46.5</v>
      </c>
      <c r="J55" s="82">
        <v>40</v>
      </c>
      <c r="K55" s="82">
        <v>60</v>
      </c>
    </row>
    <row r="56" spans="3:11" ht="30" x14ac:dyDescent="0.25">
      <c r="C56" s="82"/>
      <c r="D56" s="83" t="s">
        <v>1511</v>
      </c>
      <c r="E56" s="81" t="s">
        <v>1512</v>
      </c>
      <c r="F56" s="81" t="s">
        <v>1513</v>
      </c>
      <c r="G56" s="82"/>
      <c r="H56" s="81" t="s">
        <v>1518</v>
      </c>
      <c r="I56" s="83">
        <v>8</v>
      </c>
      <c r="J56" s="82">
        <v>8</v>
      </c>
      <c r="K56" s="82">
        <v>8</v>
      </c>
    </row>
    <row r="57" spans="3:11" x14ac:dyDescent="0.25">
      <c r="C57" s="82"/>
      <c r="D57" s="83"/>
      <c r="E57" s="81"/>
      <c r="F57" s="81"/>
      <c r="G57" s="82"/>
      <c r="H57" s="83" t="s">
        <v>1519</v>
      </c>
      <c r="I57" s="83">
        <v>11</v>
      </c>
      <c r="J57" s="82">
        <v>11</v>
      </c>
      <c r="K57" s="82">
        <v>11</v>
      </c>
    </row>
    <row r="58" spans="3:11" ht="45" x14ac:dyDescent="0.25">
      <c r="C58" s="82"/>
      <c r="D58" s="83" t="s">
        <v>1521</v>
      </c>
      <c r="E58" s="84">
        <v>5238</v>
      </c>
      <c r="F58" s="84">
        <v>6085</v>
      </c>
      <c r="G58" s="82"/>
      <c r="H58" s="83" t="s">
        <v>1521</v>
      </c>
      <c r="I58" s="85">
        <f>I55*I56*I57</f>
        <v>4092</v>
      </c>
      <c r="J58" s="85">
        <f>J55*J56*J57</f>
        <v>3520</v>
      </c>
      <c r="K58" s="85">
        <f>K55*K56*K57</f>
        <v>5280</v>
      </c>
    </row>
    <row r="59" spans="3:11" ht="30" x14ac:dyDescent="0.25">
      <c r="C59" s="82"/>
      <c r="D59" s="83" t="s">
        <v>1514</v>
      </c>
      <c r="E59" s="83" t="s">
        <v>1515</v>
      </c>
      <c r="F59" s="83" t="s">
        <v>1515</v>
      </c>
      <c r="G59" s="82"/>
      <c r="H59" s="83" t="s">
        <v>1520</v>
      </c>
      <c r="I59" s="83">
        <v>2</v>
      </c>
      <c r="J59" s="82"/>
      <c r="K59" s="82"/>
    </row>
  </sheetData>
  <mergeCells count="1">
    <mergeCell ref="H54:I54"/>
  </mergeCells>
  <pageMargins left="0.7" right="0.7" top="0.75" bottom="0.75" header="0.3" footer="0.3"/>
  <pageSetup orientation="portrait"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6339C-5C4C-4C1B-B7F6-F64D1232A3F5}">
  <dimension ref="A2:N233"/>
  <sheetViews>
    <sheetView workbookViewId="0">
      <selection activeCell="N11" sqref="N11"/>
    </sheetView>
  </sheetViews>
  <sheetFormatPr defaultRowHeight="15" x14ac:dyDescent="0.25"/>
  <cols>
    <col min="3" max="3" width="10.140625" bestFit="1" customWidth="1"/>
    <col min="7" max="7" width="10.42578125" bestFit="1" customWidth="1"/>
    <col min="8" max="8" width="10.140625" bestFit="1" customWidth="1"/>
    <col min="12" max="12" width="11.140625" bestFit="1" customWidth="1"/>
    <col min="14" max="14" width="12.7109375" bestFit="1" customWidth="1"/>
  </cols>
  <sheetData>
    <row r="2" spans="1:14" x14ac:dyDescent="0.25">
      <c r="B2" t="s">
        <v>2135</v>
      </c>
      <c r="G2" s="209">
        <v>44156</v>
      </c>
    </row>
    <row r="4" spans="1:14" x14ac:dyDescent="0.25">
      <c r="A4" t="s">
        <v>8</v>
      </c>
      <c r="B4" t="s">
        <v>2111</v>
      </c>
      <c r="C4" t="s">
        <v>1942</v>
      </c>
      <c r="D4" t="s">
        <v>2114</v>
      </c>
      <c r="E4" t="s">
        <v>1942</v>
      </c>
      <c r="F4" t="s">
        <v>2114</v>
      </c>
      <c r="G4" t="s">
        <v>1942</v>
      </c>
      <c r="H4" t="s">
        <v>2116</v>
      </c>
      <c r="I4" t="s">
        <v>2117</v>
      </c>
      <c r="J4" t="s">
        <v>2119</v>
      </c>
      <c r="K4" t="s">
        <v>2121</v>
      </c>
      <c r="L4" t="s">
        <v>1942</v>
      </c>
      <c r="M4" t="s">
        <v>2123</v>
      </c>
      <c r="N4" t="s">
        <v>13</v>
      </c>
    </row>
    <row r="5" spans="1:14" x14ac:dyDescent="0.25">
      <c r="B5" t="s">
        <v>2112</v>
      </c>
      <c r="C5" t="s">
        <v>2113</v>
      </c>
      <c r="D5" t="s">
        <v>2113</v>
      </c>
      <c r="E5" t="s">
        <v>10</v>
      </c>
      <c r="F5" t="s">
        <v>10</v>
      </c>
      <c r="G5" t="s">
        <v>2115</v>
      </c>
      <c r="H5" t="s">
        <v>2113</v>
      </c>
      <c r="I5" t="s">
        <v>2118</v>
      </c>
      <c r="J5" t="s">
        <v>2120</v>
      </c>
      <c r="K5" t="s">
        <v>2120</v>
      </c>
      <c r="L5" t="s">
        <v>2122</v>
      </c>
      <c r="M5" t="s">
        <v>2120</v>
      </c>
    </row>
    <row r="6" spans="1:14" x14ac:dyDescent="0.25">
      <c r="B6" t="s">
        <v>15</v>
      </c>
      <c r="C6" s="30">
        <v>58494728</v>
      </c>
      <c r="D6" s="30">
        <v>14124</v>
      </c>
      <c r="E6" s="30">
        <v>1386570</v>
      </c>
      <c r="F6">
        <v>792</v>
      </c>
      <c r="G6" s="30">
        <v>40467900</v>
      </c>
      <c r="H6" s="30">
        <v>16640258</v>
      </c>
      <c r="I6" s="30">
        <v>102391</v>
      </c>
      <c r="J6" s="30">
        <v>7504</v>
      </c>
      <c r="K6">
        <v>177.9</v>
      </c>
    </row>
    <row r="7" spans="1:14" x14ac:dyDescent="0.25">
      <c r="A7">
        <v>1</v>
      </c>
      <c r="B7" t="s">
        <v>16</v>
      </c>
      <c r="C7" s="30">
        <v>12450666</v>
      </c>
      <c r="E7" s="30">
        <v>261790</v>
      </c>
      <c r="G7" s="30">
        <v>7403847</v>
      </c>
      <c r="H7" s="30">
        <v>4785029</v>
      </c>
      <c r="I7" s="30">
        <v>22927</v>
      </c>
      <c r="J7" s="30">
        <v>37529</v>
      </c>
      <c r="K7">
        <v>789</v>
      </c>
      <c r="L7" s="30">
        <v>179039707</v>
      </c>
      <c r="M7" s="30">
        <v>539659</v>
      </c>
      <c r="N7" s="30">
        <v>331764517</v>
      </c>
    </row>
    <row r="8" spans="1:14" x14ac:dyDescent="0.25">
      <c r="A8">
        <v>2</v>
      </c>
      <c r="B8" t="s">
        <v>30</v>
      </c>
      <c r="C8" s="30">
        <v>9095908</v>
      </c>
      <c r="E8" s="30">
        <v>133263</v>
      </c>
      <c r="G8" s="30">
        <v>8521617</v>
      </c>
      <c r="H8" s="30">
        <v>441028</v>
      </c>
      <c r="I8" s="30">
        <v>8944</v>
      </c>
      <c r="J8" s="30">
        <v>6566</v>
      </c>
      <c r="K8">
        <v>96</v>
      </c>
      <c r="L8" s="30">
        <v>131733134</v>
      </c>
      <c r="M8" s="30">
        <v>95093</v>
      </c>
      <c r="N8" s="30">
        <v>1385308309</v>
      </c>
    </row>
    <row r="9" spans="1:14" x14ac:dyDescent="0.25">
      <c r="A9">
        <v>3</v>
      </c>
      <c r="B9" t="s">
        <v>21</v>
      </c>
      <c r="C9" s="30">
        <v>6052786</v>
      </c>
      <c r="E9" s="30">
        <v>169016</v>
      </c>
      <c r="G9" s="30">
        <v>5429158</v>
      </c>
      <c r="H9" s="30">
        <v>454612</v>
      </c>
      <c r="I9" s="30">
        <v>8318</v>
      </c>
      <c r="J9" s="30">
        <v>28397</v>
      </c>
      <c r="K9">
        <v>793</v>
      </c>
      <c r="L9" s="30">
        <v>21900000</v>
      </c>
      <c r="M9" s="30">
        <v>102744</v>
      </c>
      <c r="N9" s="30">
        <v>213151746</v>
      </c>
    </row>
    <row r="10" spans="1:14" x14ac:dyDescent="0.25">
      <c r="A10">
        <v>4</v>
      </c>
      <c r="B10" t="s">
        <v>19</v>
      </c>
      <c r="C10" s="30">
        <v>2127051</v>
      </c>
      <c r="E10" s="30">
        <v>48518</v>
      </c>
      <c r="G10" s="30">
        <v>149521</v>
      </c>
      <c r="H10" s="30">
        <v>1929012</v>
      </c>
      <c r="I10" s="30">
        <v>4582</v>
      </c>
      <c r="J10" s="30">
        <v>32558</v>
      </c>
      <c r="K10">
        <v>743</v>
      </c>
      <c r="L10" s="30">
        <v>19779652</v>
      </c>
      <c r="M10" s="30">
        <v>302763</v>
      </c>
      <c r="N10" s="30">
        <v>65330409</v>
      </c>
    </row>
    <row r="11" spans="1:14" x14ac:dyDescent="0.25">
      <c r="A11">
        <v>5</v>
      </c>
      <c r="B11" t="s">
        <v>32</v>
      </c>
      <c r="C11" s="30">
        <v>2064748</v>
      </c>
      <c r="E11" s="30">
        <v>35778</v>
      </c>
      <c r="G11" s="30">
        <v>1577435</v>
      </c>
      <c r="H11" s="30">
        <v>451535</v>
      </c>
      <c r="I11" s="30">
        <v>2300</v>
      </c>
      <c r="J11" s="30">
        <v>14146</v>
      </c>
      <c r="K11">
        <v>245</v>
      </c>
      <c r="L11" s="30">
        <v>71838293</v>
      </c>
      <c r="M11" s="30">
        <v>492181</v>
      </c>
      <c r="N11" s="30">
        <v>145959155</v>
      </c>
    </row>
    <row r="12" spans="1:14" x14ac:dyDescent="0.25">
      <c r="A12">
        <v>6</v>
      </c>
      <c r="B12" t="s">
        <v>20</v>
      </c>
      <c r="C12" s="30">
        <v>1589219</v>
      </c>
      <c r="E12" s="30">
        <v>42619</v>
      </c>
      <c r="G12" t="s">
        <v>338</v>
      </c>
      <c r="H12" t="s">
        <v>338</v>
      </c>
      <c r="I12" s="30">
        <v>3054</v>
      </c>
      <c r="J12" s="30">
        <v>33985</v>
      </c>
      <c r="K12">
        <v>911</v>
      </c>
      <c r="L12" s="30">
        <v>20742051</v>
      </c>
      <c r="M12" s="30">
        <v>443567</v>
      </c>
      <c r="N12" s="30">
        <v>46761925</v>
      </c>
    </row>
    <row r="13" spans="1:14" x14ac:dyDescent="0.25">
      <c r="A13">
        <v>7</v>
      </c>
      <c r="B13" t="s">
        <v>17</v>
      </c>
      <c r="C13" s="30">
        <v>1493383</v>
      </c>
      <c r="E13" s="30">
        <v>54626</v>
      </c>
      <c r="G13" t="s">
        <v>338</v>
      </c>
      <c r="H13" t="s">
        <v>338</v>
      </c>
      <c r="I13" s="30">
        <v>1421</v>
      </c>
      <c r="J13" s="30">
        <v>21953</v>
      </c>
      <c r="K13">
        <v>803</v>
      </c>
      <c r="L13" s="30">
        <v>40266183</v>
      </c>
      <c r="M13" s="30">
        <v>591923</v>
      </c>
      <c r="N13" s="30">
        <v>68026070</v>
      </c>
    </row>
    <row r="14" spans="1:14" x14ac:dyDescent="0.25">
      <c r="A14">
        <v>8</v>
      </c>
      <c r="B14" t="s">
        <v>18</v>
      </c>
      <c r="C14" s="30">
        <v>1380531</v>
      </c>
      <c r="E14" s="30">
        <v>49261</v>
      </c>
      <c r="G14" s="30">
        <v>539524</v>
      </c>
      <c r="H14" s="30">
        <v>791746</v>
      </c>
      <c r="I14" s="30">
        <v>3758</v>
      </c>
      <c r="J14" s="30">
        <v>22846</v>
      </c>
      <c r="K14">
        <v>815</v>
      </c>
      <c r="L14" s="30">
        <v>20199829</v>
      </c>
      <c r="M14" s="30">
        <v>334287</v>
      </c>
      <c r="N14" s="30">
        <v>60426678</v>
      </c>
    </row>
    <row r="15" spans="1:14" x14ac:dyDescent="0.25">
      <c r="A15">
        <v>9</v>
      </c>
      <c r="B15" t="s">
        <v>55</v>
      </c>
      <c r="C15" s="30">
        <v>1366182</v>
      </c>
      <c r="E15" s="30">
        <v>36902</v>
      </c>
      <c r="G15" s="30">
        <v>1187053</v>
      </c>
      <c r="H15" s="30">
        <v>142227</v>
      </c>
      <c r="I15" s="30">
        <v>4132</v>
      </c>
      <c r="J15" s="30">
        <v>30120</v>
      </c>
      <c r="K15">
        <v>814</v>
      </c>
      <c r="L15" s="30">
        <v>3661948</v>
      </c>
      <c r="M15" s="30">
        <v>80734</v>
      </c>
      <c r="N15" s="30">
        <v>45358011</v>
      </c>
    </row>
    <row r="16" spans="1:14" x14ac:dyDescent="0.25">
      <c r="A16">
        <v>10</v>
      </c>
      <c r="B16" t="s">
        <v>47</v>
      </c>
      <c r="C16" s="30">
        <v>1240493</v>
      </c>
      <c r="E16" s="30">
        <v>35104</v>
      </c>
      <c r="G16" s="30">
        <v>1144923</v>
      </c>
      <c r="H16" s="30">
        <v>60466</v>
      </c>
      <c r="I16" s="30">
        <v>2376</v>
      </c>
      <c r="J16" s="30">
        <v>24278</v>
      </c>
      <c r="K16">
        <v>687</v>
      </c>
      <c r="L16" s="30">
        <v>6010654</v>
      </c>
      <c r="M16" s="30">
        <v>117637</v>
      </c>
      <c r="N16" s="30">
        <v>51094723</v>
      </c>
    </row>
    <row r="17" spans="1:14" x14ac:dyDescent="0.25">
      <c r="A17">
        <v>11</v>
      </c>
      <c r="B17" t="s">
        <v>24</v>
      </c>
      <c r="C17" s="30">
        <v>1032688</v>
      </c>
      <c r="D17" s="30">
        <v>6719</v>
      </c>
      <c r="E17" s="30">
        <v>101373</v>
      </c>
      <c r="F17">
        <v>550</v>
      </c>
      <c r="G17" s="30">
        <v>774930</v>
      </c>
      <c r="H17" s="30">
        <v>156385</v>
      </c>
      <c r="I17" s="30">
        <v>2852</v>
      </c>
      <c r="J17" s="30">
        <v>7977</v>
      </c>
      <c r="K17">
        <v>783</v>
      </c>
      <c r="L17" s="30">
        <v>2684780</v>
      </c>
      <c r="M17" s="30">
        <v>20738</v>
      </c>
      <c r="N17" s="30">
        <v>129461935</v>
      </c>
    </row>
    <row r="18" spans="1:14" x14ac:dyDescent="0.25">
      <c r="A18">
        <v>12</v>
      </c>
      <c r="B18" t="s">
        <v>33</v>
      </c>
      <c r="C18" s="30">
        <v>948081</v>
      </c>
      <c r="E18" s="30">
        <v>35549</v>
      </c>
      <c r="G18" s="30">
        <v>876399</v>
      </c>
      <c r="H18" s="30">
        <v>36133</v>
      </c>
      <c r="I18">
        <v>969</v>
      </c>
      <c r="J18" s="30">
        <v>28599</v>
      </c>
      <c r="K18" s="30">
        <v>1072</v>
      </c>
      <c r="L18" s="30">
        <v>4916164</v>
      </c>
      <c r="M18" s="30">
        <v>148298</v>
      </c>
      <c r="N18" s="30">
        <v>33150631</v>
      </c>
    </row>
    <row r="19" spans="1:14" x14ac:dyDescent="0.25">
      <c r="A19">
        <v>13</v>
      </c>
      <c r="B19" t="s">
        <v>23</v>
      </c>
      <c r="C19" s="30">
        <v>918271</v>
      </c>
      <c r="E19" s="30">
        <v>14239</v>
      </c>
      <c r="G19" s="30">
        <v>593100</v>
      </c>
      <c r="H19" s="30">
        <v>310932</v>
      </c>
      <c r="I19" s="30">
        <v>3615</v>
      </c>
      <c r="J19" s="30">
        <v>10946</v>
      </c>
      <c r="K19">
        <v>170</v>
      </c>
      <c r="L19" s="30">
        <v>26456866</v>
      </c>
      <c r="M19" s="30">
        <v>315378</v>
      </c>
      <c r="N19" s="30">
        <v>83889377</v>
      </c>
    </row>
    <row r="20" spans="1:14" x14ac:dyDescent="0.25">
      <c r="A20">
        <v>14</v>
      </c>
      <c r="B20" t="s">
        <v>41</v>
      </c>
      <c r="C20" s="30">
        <v>843475</v>
      </c>
      <c r="E20" s="30">
        <v>13288</v>
      </c>
      <c r="G20" s="30">
        <v>407075</v>
      </c>
      <c r="H20" s="30">
        <v>423112</v>
      </c>
      <c r="I20" s="30">
        <v>2125</v>
      </c>
      <c r="J20" s="30">
        <v>22296</v>
      </c>
      <c r="K20">
        <v>351</v>
      </c>
      <c r="L20" s="30">
        <v>5901232</v>
      </c>
      <c r="M20" s="30">
        <v>155992</v>
      </c>
      <c r="N20" s="30">
        <v>37830230</v>
      </c>
    </row>
    <row r="21" spans="1:14" x14ac:dyDescent="0.25">
      <c r="A21">
        <v>15</v>
      </c>
      <c r="B21" t="s">
        <v>25</v>
      </c>
      <c r="C21" s="30">
        <v>841308</v>
      </c>
      <c r="E21" s="30">
        <v>44327</v>
      </c>
      <c r="G21" s="30">
        <v>596136</v>
      </c>
      <c r="H21" s="30">
        <v>200845</v>
      </c>
      <c r="I21" s="30">
        <v>5778</v>
      </c>
      <c r="J21" s="30">
        <v>9967</v>
      </c>
      <c r="K21">
        <v>525</v>
      </c>
      <c r="L21" s="30">
        <v>5747325</v>
      </c>
      <c r="M21" s="30">
        <v>68087</v>
      </c>
      <c r="N21" s="30">
        <v>84411910</v>
      </c>
    </row>
    <row r="22" spans="1:14" x14ac:dyDescent="0.25">
      <c r="A22">
        <v>16</v>
      </c>
      <c r="B22" t="s">
        <v>52</v>
      </c>
      <c r="C22" s="30">
        <v>765409</v>
      </c>
      <c r="E22" s="30">
        <v>20845</v>
      </c>
      <c r="G22" s="30">
        <v>707784</v>
      </c>
      <c r="H22" s="30">
        <v>36780</v>
      </c>
      <c r="I22">
        <v>546</v>
      </c>
      <c r="J22" s="30">
        <v>12842</v>
      </c>
      <c r="K22">
        <v>350</v>
      </c>
      <c r="L22" s="30">
        <v>5269062</v>
      </c>
      <c r="M22" s="30">
        <v>88407</v>
      </c>
      <c r="N22" s="30">
        <v>59600159</v>
      </c>
    </row>
    <row r="23" spans="1:14" x14ac:dyDescent="0.25">
      <c r="A23">
        <v>17</v>
      </c>
      <c r="B23" t="s">
        <v>48</v>
      </c>
      <c r="C23" s="30">
        <v>612665</v>
      </c>
      <c r="E23" s="30">
        <v>10813</v>
      </c>
      <c r="G23" s="30">
        <v>282313</v>
      </c>
      <c r="H23" s="30">
        <v>319539</v>
      </c>
      <c r="I23">
        <v>177</v>
      </c>
      <c r="J23" s="30">
        <v>14042</v>
      </c>
      <c r="K23">
        <v>248</v>
      </c>
      <c r="L23" s="30">
        <v>4154333</v>
      </c>
      <c r="M23" s="30">
        <v>95219</v>
      </c>
      <c r="N23" s="30">
        <v>43629450</v>
      </c>
    </row>
    <row r="24" spans="1:14" x14ac:dyDescent="0.25">
      <c r="A24">
        <v>18</v>
      </c>
      <c r="B24" t="s">
        <v>22</v>
      </c>
      <c r="C24" s="30">
        <v>556904</v>
      </c>
      <c r="D24" s="30">
        <v>3224</v>
      </c>
      <c r="E24" s="30">
        <v>15522</v>
      </c>
      <c r="F24">
        <v>170</v>
      </c>
      <c r="G24" s="30">
        <v>35810</v>
      </c>
      <c r="H24" s="30">
        <v>505572</v>
      </c>
      <c r="I24" s="30">
        <v>1201</v>
      </c>
      <c r="J24" s="30">
        <v>47970</v>
      </c>
      <c r="K24" s="30">
        <v>1337</v>
      </c>
      <c r="L24" s="30">
        <v>5668113</v>
      </c>
      <c r="M24" s="30">
        <v>488233</v>
      </c>
      <c r="N24" s="30">
        <v>11609451</v>
      </c>
    </row>
    <row r="25" spans="1:14" x14ac:dyDescent="0.25">
      <c r="A25">
        <v>19</v>
      </c>
      <c r="B25" t="s">
        <v>44</v>
      </c>
      <c r="C25" s="30">
        <v>539143</v>
      </c>
      <c r="E25" s="30">
        <v>15030</v>
      </c>
      <c r="G25" s="30">
        <v>514584</v>
      </c>
      <c r="H25" s="30">
        <v>9529</v>
      </c>
      <c r="I25">
        <v>712</v>
      </c>
      <c r="J25" s="30">
        <v>28109</v>
      </c>
      <c r="K25">
        <v>784</v>
      </c>
      <c r="L25" s="30">
        <v>5017064</v>
      </c>
      <c r="M25" s="30">
        <v>261572</v>
      </c>
      <c r="N25" s="30">
        <v>19180431</v>
      </c>
    </row>
    <row r="26" spans="1:14" x14ac:dyDescent="0.25">
      <c r="A26">
        <v>20</v>
      </c>
      <c r="B26" t="s">
        <v>79</v>
      </c>
      <c r="C26" s="30">
        <v>533555</v>
      </c>
      <c r="E26" s="30">
        <v>11925</v>
      </c>
      <c r="G26" s="30">
        <v>463040</v>
      </c>
      <c r="H26" s="30">
        <v>58590</v>
      </c>
      <c r="I26">
        <v>366</v>
      </c>
      <c r="J26" s="30">
        <v>13151</v>
      </c>
      <c r="K26">
        <v>294</v>
      </c>
      <c r="L26" s="30">
        <v>3244188</v>
      </c>
      <c r="M26" s="30">
        <v>79964</v>
      </c>
      <c r="N26" s="30">
        <v>40570536</v>
      </c>
    </row>
    <row r="27" spans="1:14" x14ac:dyDescent="0.25">
      <c r="A27">
        <v>21</v>
      </c>
      <c r="B27" t="s">
        <v>37</v>
      </c>
      <c r="C27" s="30">
        <v>493308</v>
      </c>
      <c r="E27" s="30">
        <v>15774</v>
      </c>
      <c r="G27" s="30">
        <v>413955</v>
      </c>
      <c r="H27" s="30">
        <v>63579</v>
      </c>
      <c r="J27" s="30">
        <v>1796</v>
      </c>
      <c r="K27">
        <v>57</v>
      </c>
      <c r="L27" s="30">
        <v>5304548</v>
      </c>
      <c r="M27" s="30">
        <v>19314</v>
      </c>
      <c r="N27" s="30">
        <v>274653425</v>
      </c>
    </row>
    <row r="28" spans="1:14" x14ac:dyDescent="0.25">
      <c r="A28">
        <v>22</v>
      </c>
      <c r="B28" t="s">
        <v>58</v>
      </c>
      <c r="C28" s="30">
        <v>490750</v>
      </c>
      <c r="E28" s="30">
        <v>7095</v>
      </c>
      <c r="G28" s="30">
        <v>394830</v>
      </c>
      <c r="H28" s="30">
        <v>88825</v>
      </c>
      <c r="I28">
        <v>913</v>
      </c>
      <c r="J28" s="30">
        <v>45793</v>
      </c>
      <c r="K28">
        <v>662</v>
      </c>
      <c r="L28" s="30">
        <v>2905249</v>
      </c>
      <c r="M28" s="30">
        <v>271093</v>
      </c>
      <c r="N28" s="30">
        <v>10716810</v>
      </c>
    </row>
    <row r="29" spans="1:14" x14ac:dyDescent="0.25">
      <c r="A29">
        <v>23</v>
      </c>
      <c r="B29" t="s">
        <v>27</v>
      </c>
      <c r="C29" s="30">
        <v>479260</v>
      </c>
      <c r="E29" s="30">
        <v>8870</v>
      </c>
      <c r="G29" t="s">
        <v>338</v>
      </c>
      <c r="H29" t="s">
        <v>338</v>
      </c>
      <c r="I29">
        <v>564</v>
      </c>
      <c r="J29" s="30">
        <v>27946</v>
      </c>
      <c r="K29">
        <v>517</v>
      </c>
      <c r="L29" s="30">
        <v>3893908</v>
      </c>
      <c r="M29" s="30">
        <v>227053</v>
      </c>
      <c r="N29" s="30">
        <v>17149807</v>
      </c>
    </row>
    <row r="30" spans="1:14" x14ac:dyDescent="0.25">
      <c r="A30">
        <v>24</v>
      </c>
      <c r="B30" t="s">
        <v>53</v>
      </c>
      <c r="C30" s="30">
        <v>445281</v>
      </c>
      <c r="E30" s="30">
        <v>6350</v>
      </c>
      <c r="G30" s="30">
        <v>360352</v>
      </c>
      <c r="H30" s="30">
        <v>78579</v>
      </c>
      <c r="J30" s="30">
        <v>2693</v>
      </c>
      <c r="K30">
        <v>38</v>
      </c>
      <c r="L30" s="30">
        <v>2635202</v>
      </c>
      <c r="M30" s="30">
        <v>15939</v>
      </c>
      <c r="N30" s="30">
        <v>165330708</v>
      </c>
    </row>
    <row r="31" spans="1:14" x14ac:dyDescent="0.25">
      <c r="A31">
        <v>25</v>
      </c>
      <c r="B31" t="s">
        <v>29</v>
      </c>
      <c r="C31" s="30">
        <v>440805</v>
      </c>
      <c r="E31" s="30">
        <v>12219</v>
      </c>
      <c r="G31" s="30">
        <v>370825</v>
      </c>
      <c r="H31" s="30">
        <v>57761</v>
      </c>
      <c r="I31" s="30">
        <v>4121</v>
      </c>
      <c r="J31" s="30">
        <v>5205</v>
      </c>
      <c r="K31">
        <v>144</v>
      </c>
      <c r="L31" s="30">
        <v>17090101</v>
      </c>
      <c r="M31" s="30">
        <v>201788</v>
      </c>
      <c r="N31" s="30">
        <v>84693499</v>
      </c>
    </row>
    <row r="32" spans="1:14" x14ac:dyDescent="0.25">
      <c r="A32">
        <v>26</v>
      </c>
      <c r="B32" t="s">
        <v>42</v>
      </c>
      <c r="C32" s="30">
        <v>416852</v>
      </c>
      <c r="E32" s="30">
        <v>8080</v>
      </c>
      <c r="G32" s="30">
        <v>375548</v>
      </c>
      <c r="H32" s="30">
        <v>33224</v>
      </c>
      <c r="I32" s="30">
        <v>1449</v>
      </c>
      <c r="J32" s="30">
        <v>3784</v>
      </c>
      <c r="K32">
        <v>73</v>
      </c>
      <c r="L32" s="30">
        <v>5457998</v>
      </c>
      <c r="M32" s="30">
        <v>49551</v>
      </c>
      <c r="N32" s="30">
        <v>110149154</v>
      </c>
    </row>
    <row r="33" spans="1:14" x14ac:dyDescent="0.25">
      <c r="A33">
        <v>27</v>
      </c>
      <c r="B33" t="s">
        <v>39</v>
      </c>
      <c r="C33" s="30">
        <v>412808</v>
      </c>
      <c r="E33" s="30">
        <v>9916</v>
      </c>
      <c r="G33" s="30">
        <v>287310</v>
      </c>
      <c r="H33" s="30">
        <v>115582</v>
      </c>
      <c r="I33" s="30">
        <v>1132</v>
      </c>
      <c r="J33" s="30">
        <v>21515</v>
      </c>
      <c r="K33">
        <v>517</v>
      </c>
      <c r="L33" s="30">
        <v>3877953</v>
      </c>
      <c r="M33" s="30">
        <v>202117</v>
      </c>
      <c r="N33" s="30">
        <v>19186711</v>
      </c>
    </row>
    <row r="34" spans="1:14" x14ac:dyDescent="0.25">
      <c r="A34">
        <v>28</v>
      </c>
      <c r="B34" t="s">
        <v>40</v>
      </c>
      <c r="C34" s="30">
        <v>374173</v>
      </c>
      <c r="D34" s="30">
        <v>2665</v>
      </c>
      <c r="E34" s="30">
        <v>7662</v>
      </c>
      <c r="F34">
        <v>59</v>
      </c>
      <c r="G34" s="30">
        <v>329828</v>
      </c>
      <c r="H34" s="30">
        <v>36683</v>
      </c>
      <c r="I34" s="30">
        <v>1653</v>
      </c>
      <c r="J34" s="30">
        <v>1681</v>
      </c>
      <c r="K34">
        <v>34</v>
      </c>
      <c r="L34" s="30">
        <v>5180026</v>
      </c>
      <c r="M34" s="30">
        <v>23276</v>
      </c>
      <c r="N34" s="30">
        <v>222551849</v>
      </c>
    </row>
    <row r="35" spans="1:14" x14ac:dyDescent="0.25">
      <c r="A35">
        <v>29</v>
      </c>
      <c r="B35" t="s">
        <v>57</v>
      </c>
      <c r="C35" s="30">
        <v>355034</v>
      </c>
      <c r="E35" s="30">
        <v>5761</v>
      </c>
      <c r="G35" s="30">
        <v>342882</v>
      </c>
      <c r="H35" s="30">
        <v>6391</v>
      </c>
      <c r="I35">
        <v>796</v>
      </c>
      <c r="J35" s="30">
        <v>10137</v>
      </c>
      <c r="K35">
        <v>164</v>
      </c>
      <c r="L35" s="30">
        <v>9218646</v>
      </c>
      <c r="M35" s="30">
        <v>263205</v>
      </c>
      <c r="N35" s="30">
        <v>35024531</v>
      </c>
    </row>
    <row r="36" spans="1:14" x14ac:dyDescent="0.25">
      <c r="A36">
        <v>30</v>
      </c>
      <c r="B36" t="s">
        <v>61</v>
      </c>
      <c r="C36" s="30">
        <v>328397</v>
      </c>
      <c r="E36" s="30">
        <v>2757</v>
      </c>
      <c r="G36" s="30">
        <v>317171</v>
      </c>
      <c r="H36" s="30">
        <v>8469</v>
      </c>
      <c r="I36">
        <v>315</v>
      </c>
      <c r="J36" s="30">
        <v>35705</v>
      </c>
      <c r="K36">
        <v>300</v>
      </c>
      <c r="L36" s="30">
        <v>5237118</v>
      </c>
      <c r="M36" s="30">
        <v>569401</v>
      </c>
      <c r="N36" s="30">
        <v>9197590</v>
      </c>
    </row>
    <row r="37" spans="1:14" x14ac:dyDescent="0.25">
      <c r="A37">
        <v>31</v>
      </c>
      <c r="B37" t="s">
        <v>26</v>
      </c>
      <c r="C37" s="30">
        <v>325711</v>
      </c>
      <c r="E37" s="30">
        <v>11406</v>
      </c>
      <c r="G37" s="30">
        <v>260398</v>
      </c>
      <c r="H37" s="30">
        <v>53907</v>
      </c>
      <c r="I37">
        <v>431</v>
      </c>
      <c r="J37" s="30">
        <v>8600</v>
      </c>
      <c r="K37">
        <v>301</v>
      </c>
      <c r="L37" s="30">
        <v>10822889</v>
      </c>
      <c r="M37" s="30">
        <v>285778</v>
      </c>
      <c r="N37" s="30">
        <v>37871660</v>
      </c>
    </row>
    <row r="38" spans="1:14" x14ac:dyDescent="0.25">
      <c r="A38">
        <v>32</v>
      </c>
      <c r="B38" t="s">
        <v>72</v>
      </c>
      <c r="C38" s="30">
        <v>320962</v>
      </c>
      <c r="E38" s="30">
        <v>5256</v>
      </c>
      <c r="G38" s="30">
        <v>266711</v>
      </c>
      <c r="H38" s="30">
        <v>48995</v>
      </c>
      <c r="I38" s="30">
        <v>1024</v>
      </c>
      <c r="J38" s="30">
        <v>8656</v>
      </c>
      <c r="K38">
        <v>142</v>
      </c>
      <c r="L38" s="30">
        <v>3776678</v>
      </c>
      <c r="M38" s="30">
        <v>101849</v>
      </c>
      <c r="N38" s="30">
        <v>37081225</v>
      </c>
    </row>
    <row r="39" spans="1:14" x14ac:dyDescent="0.25">
      <c r="A39">
        <v>33</v>
      </c>
      <c r="B39" t="s">
        <v>35</v>
      </c>
      <c r="C39" s="30">
        <v>290601</v>
      </c>
      <c r="E39" s="30">
        <v>4031</v>
      </c>
      <c r="G39" s="30">
        <v>180700</v>
      </c>
      <c r="H39" s="30">
        <v>105870</v>
      </c>
      <c r="I39">
        <v>517</v>
      </c>
      <c r="J39" s="30">
        <v>33482</v>
      </c>
      <c r="K39">
        <v>464</v>
      </c>
      <c r="L39" s="30">
        <v>2513729</v>
      </c>
      <c r="M39" s="30">
        <v>289619</v>
      </c>
      <c r="N39" s="30">
        <v>8679429</v>
      </c>
    </row>
    <row r="40" spans="1:14" x14ac:dyDescent="0.25">
      <c r="A40">
        <v>34</v>
      </c>
      <c r="B40" t="s">
        <v>38</v>
      </c>
      <c r="C40" s="30">
        <v>255970</v>
      </c>
      <c r="E40" s="30">
        <v>3824</v>
      </c>
      <c r="G40" s="30">
        <v>169379</v>
      </c>
      <c r="H40" s="30">
        <v>82767</v>
      </c>
      <c r="I40">
        <v>485</v>
      </c>
      <c r="J40" s="30">
        <v>25132</v>
      </c>
      <c r="K40">
        <v>375</v>
      </c>
      <c r="L40" s="30">
        <v>4067735</v>
      </c>
      <c r="M40" s="30">
        <v>399387</v>
      </c>
      <c r="N40" s="30">
        <v>10184939</v>
      </c>
    </row>
    <row r="41" spans="1:14" x14ac:dyDescent="0.25">
      <c r="A41">
        <v>35</v>
      </c>
      <c r="B41" t="s">
        <v>49</v>
      </c>
      <c r="C41" s="30">
        <v>241962</v>
      </c>
      <c r="E41" s="30">
        <v>2328</v>
      </c>
      <c r="G41" s="30">
        <v>162751</v>
      </c>
      <c r="H41" s="30">
        <v>76883</v>
      </c>
      <c r="I41">
        <v>697</v>
      </c>
      <c r="J41" s="30">
        <v>26806</v>
      </c>
      <c r="K41">
        <v>258</v>
      </c>
      <c r="L41" s="30">
        <v>2820796</v>
      </c>
      <c r="M41" s="30">
        <v>312499</v>
      </c>
      <c r="N41" s="30">
        <v>9026572</v>
      </c>
    </row>
    <row r="42" spans="1:14" x14ac:dyDescent="0.25">
      <c r="A42">
        <v>36</v>
      </c>
      <c r="B42" t="s">
        <v>169</v>
      </c>
      <c r="C42" s="30">
        <v>218639</v>
      </c>
      <c r="E42" s="30">
        <v>1305</v>
      </c>
      <c r="G42" s="30">
        <v>193325</v>
      </c>
      <c r="H42" s="30">
        <v>24009</v>
      </c>
      <c r="J42" s="30">
        <v>7452</v>
      </c>
      <c r="K42">
        <v>44</v>
      </c>
      <c r="L42" s="30">
        <v>1652043</v>
      </c>
      <c r="M42" s="30">
        <v>56307</v>
      </c>
      <c r="N42" s="30">
        <v>29339891</v>
      </c>
    </row>
    <row r="43" spans="1:14" x14ac:dyDescent="0.25">
      <c r="A43">
        <v>37</v>
      </c>
      <c r="B43" t="s">
        <v>31</v>
      </c>
      <c r="C43" s="30">
        <v>208295</v>
      </c>
      <c r="E43" s="30">
        <v>6406</v>
      </c>
      <c r="G43" t="s">
        <v>338</v>
      </c>
      <c r="H43" t="s">
        <v>338</v>
      </c>
      <c r="I43">
        <v>182</v>
      </c>
      <c r="J43" s="30">
        <v>20574</v>
      </c>
      <c r="K43">
        <v>633</v>
      </c>
      <c r="L43" s="30">
        <v>2914088</v>
      </c>
      <c r="M43" s="30">
        <v>287840</v>
      </c>
      <c r="N43" s="30">
        <v>10123974</v>
      </c>
    </row>
    <row r="44" spans="1:14" x14ac:dyDescent="0.25">
      <c r="A44">
        <v>38</v>
      </c>
      <c r="B44" t="s">
        <v>34</v>
      </c>
      <c r="C44" s="30">
        <v>184876</v>
      </c>
      <c r="E44" s="30">
        <v>13139</v>
      </c>
      <c r="G44" s="30">
        <v>160639</v>
      </c>
      <c r="H44" s="30">
        <v>11098</v>
      </c>
      <c r="I44">
        <v>348</v>
      </c>
      <c r="J44" s="30">
        <v>10417</v>
      </c>
      <c r="K44">
        <v>740</v>
      </c>
      <c r="L44" s="30">
        <v>615856</v>
      </c>
      <c r="M44" s="30">
        <v>34702</v>
      </c>
      <c r="N44" s="30">
        <v>17747192</v>
      </c>
    </row>
    <row r="45" spans="1:14" x14ac:dyDescent="0.25">
      <c r="A45">
        <v>39</v>
      </c>
      <c r="B45" t="s">
        <v>154</v>
      </c>
      <c r="C45" s="30">
        <v>178161</v>
      </c>
      <c r="E45" s="30">
        <v>2172</v>
      </c>
      <c r="G45" s="30">
        <v>108353</v>
      </c>
      <c r="H45" s="30">
        <v>67636</v>
      </c>
      <c r="I45">
        <v>427</v>
      </c>
      <c r="J45" s="30">
        <v>17394</v>
      </c>
      <c r="K45">
        <v>212</v>
      </c>
      <c r="L45" s="30">
        <v>2334276</v>
      </c>
      <c r="M45" s="30">
        <v>227896</v>
      </c>
      <c r="N45" s="30">
        <v>10242727</v>
      </c>
    </row>
    <row r="46" spans="1:14" x14ac:dyDescent="0.25">
      <c r="A46">
        <v>40</v>
      </c>
      <c r="B46" t="s">
        <v>54</v>
      </c>
      <c r="C46" s="30">
        <v>170298</v>
      </c>
      <c r="E46" s="30">
        <v>3689</v>
      </c>
      <c r="G46" s="30">
        <v>40820</v>
      </c>
      <c r="H46" s="30">
        <v>125789</v>
      </c>
      <c r="I46">
        <v>599</v>
      </c>
      <c r="J46" s="30">
        <v>17646</v>
      </c>
      <c r="K46">
        <v>382</v>
      </c>
      <c r="L46" s="30">
        <v>1480674</v>
      </c>
      <c r="M46" s="30">
        <v>153427</v>
      </c>
      <c r="N46" s="30">
        <v>9650644</v>
      </c>
    </row>
    <row r="47" spans="1:14" x14ac:dyDescent="0.25">
      <c r="A47">
        <v>41</v>
      </c>
      <c r="B47" t="s">
        <v>66</v>
      </c>
      <c r="C47" s="30">
        <v>157785</v>
      </c>
      <c r="E47">
        <v>548</v>
      </c>
      <c r="G47" s="30">
        <v>148080</v>
      </c>
      <c r="H47" s="30">
        <v>9157</v>
      </c>
      <c r="J47" s="30">
        <v>15879</v>
      </c>
      <c r="K47">
        <v>55</v>
      </c>
      <c r="L47" s="30">
        <v>15667583</v>
      </c>
      <c r="M47" s="30">
        <v>1576691</v>
      </c>
      <c r="N47" s="30">
        <v>9937006</v>
      </c>
    </row>
    <row r="48" spans="1:14" x14ac:dyDescent="0.25">
      <c r="A48">
        <v>42</v>
      </c>
      <c r="B48" t="s">
        <v>59</v>
      </c>
      <c r="C48" s="30">
        <v>153577</v>
      </c>
      <c r="E48" s="30">
        <v>2946</v>
      </c>
      <c r="G48" s="30">
        <v>134360</v>
      </c>
      <c r="H48" s="30">
        <v>16271</v>
      </c>
      <c r="I48">
        <v>149</v>
      </c>
      <c r="J48" s="30">
        <v>35377</v>
      </c>
      <c r="K48">
        <v>679</v>
      </c>
      <c r="L48" s="30">
        <v>822413</v>
      </c>
      <c r="M48" s="30">
        <v>189446</v>
      </c>
      <c r="N48" s="30">
        <v>4341153</v>
      </c>
    </row>
    <row r="49" spans="1:14" x14ac:dyDescent="0.25">
      <c r="A49">
        <v>43</v>
      </c>
      <c r="B49" t="s">
        <v>65</v>
      </c>
      <c r="C49" s="30">
        <v>143922</v>
      </c>
      <c r="D49">
        <v>68</v>
      </c>
      <c r="E49" s="30">
        <v>8904</v>
      </c>
      <c r="F49">
        <v>4</v>
      </c>
      <c r="G49" s="30">
        <v>119180</v>
      </c>
      <c r="H49" s="30">
        <v>15838</v>
      </c>
      <c r="I49">
        <v>71</v>
      </c>
      <c r="J49" s="30">
        <v>12264</v>
      </c>
      <c r="K49">
        <v>759</v>
      </c>
      <c r="L49" s="30">
        <v>352522</v>
      </c>
      <c r="M49" s="30">
        <v>30040</v>
      </c>
      <c r="N49" s="30">
        <v>11735018</v>
      </c>
    </row>
    <row r="50" spans="1:14" x14ac:dyDescent="0.25">
      <c r="A50">
        <v>44</v>
      </c>
      <c r="B50" t="s">
        <v>77</v>
      </c>
      <c r="C50" s="30">
        <v>139734</v>
      </c>
      <c r="E50">
        <v>863</v>
      </c>
      <c r="G50" s="30">
        <v>131560</v>
      </c>
      <c r="H50" s="30">
        <v>7311</v>
      </c>
      <c r="I50">
        <v>84</v>
      </c>
      <c r="J50" s="30">
        <v>32533</v>
      </c>
      <c r="K50">
        <v>201</v>
      </c>
      <c r="L50" s="30">
        <v>1047902</v>
      </c>
      <c r="M50" s="30">
        <v>243974</v>
      </c>
      <c r="N50" s="30">
        <v>4295131</v>
      </c>
    </row>
    <row r="51" spans="1:14" x14ac:dyDescent="0.25">
      <c r="A51">
        <v>45</v>
      </c>
      <c r="B51" t="s">
        <v>56</v>
      </c>
      <c r="C51" s="30">
        <v>137770</v>
      </c>
      <c r="E51" s="30">
        <v>2308</v>
      </c>
      <c r="G51" s="30">
        <v>112090</v>
      </c>
      <c r="H51" s="30">
        <v>23372</v>
      </c>
      <c r="I51">
        <v>185</v>
      </c>
      <c r="J51" s="30">
        <v>12651</v>
      </c>
      <c r="K51">
        <v>212</v>
      </c>
      <c r="L51" s="30">
        <v>676578</v>
      </c>
      <c r="M51" s="30">
        <v>62126</v>
      </c>
      <c r="N51" s="30">
        <v>10890427</v>
      </c>
    </row>
    <row r="52" spans="1:14" x14ac:dyDescent="0.25">
      <c r="A52">
        <v>46</v>
      </c>
      <c r="B52" t="s">
        <v>118</v>
      </c>
      <c r="C52" s="30">
        <v>137062</v>
      </c>
      <c r="E52">
        <v>235</v>
      </c>
      <c r="G52" s="30">
        <v>134100</v>
      </c>
      <c r="H52" s="30">
        <v>2727</v>
      </c>
      <c r="I52">
        <v>35</v>
      </c>
      <c r="J52" s="30">
        <v>48815</v>
      </c>
      <c r="K52">
        <v>84</v>
      </c>
      <c r="L52" s="30">
        <v>1075890</v>
      </c>
      <c r="M52" s="30">
        <v>383178</v>
      </c>
      <c r="N52" s="30">
        <v>2807805</v>
      </c>
    </row>
    <row r="53" spans="1:14" x14ac:dyDescent="0.25">
      <c r="A53">
        <v>47</v>
      </c>
      <c r="B53" t="s">
        <v>152</v>
      </c>
      <c r="C53" s="30">
        <v>129418</v>
      </c>
      <c r="E53" s="30">
        <v>1608</v>
      </c>
      <c r="G53" s="30">
        <v>79372</v>
      </c>
      <c r="H53" s="30">
        <v>48438</v>
      </c>
      <c r="I53">
        <v>217</v>
      </c>
      <c r="J53" s="30">
        <v>25315</v>
      </c>
      <c r="K53">
        <v>315</v>
      </c>
      <c r="L53" s="30">
        <v>363834</v>
      </c>
      <c r="M53" s="30">
        <v>71168</v>
      </c>
      <c r="N53" s="30">
        <v>5112316</v>
      </c>
    </row>
    <row r="54" spans="1:14" x14ac:dyDescent="0.25">
      <c r="A54">
        <v>48</v>
      </c>
      <c r="B54" t="s">
        <v>43</v>
      </c>
      <c r="C54" s="30">
        <v>127665</v>
      </c>
      <c r="E54" s="30">
        <v>1963</v>
      </c>
      <c r="G54" s="30">
        <v>109892</v>
      </c>
      <c r="H54" s="30">
        <v>15810</v>
      </c>
      <c r="I54">
        <v>313</v>
      </c>
      <c r="J54" s="30">
        <v>1011</v>
      </c>
      <c r="K54">
        <v>16</v>
      </c>
      <c r="L54" s="30">
        <v>3225667</v>
      </c>
      <c r="M54" s="30">
        <v>25535</v>
      </c>
      <c r="N54" s="30">
        <v>126323166</v>
      </c>
    </row>
    <row r="55" spans="1:14" x14ac:dyDescent="0.25">
      <c r="A55">
        <v>49</v>
      </c>
      <c r="B55" t="s">
        <v>109</v>
      </c>
      <c r="C55" s="30">
        <v>125466</v>
      </c>
      <c r="D55">
        <v>756</v>
      </c>
      <c r="E55" s="30">
        <v>1945</v>
      </c>
      <c r="G55" s="30">
        <v>112292</v>
      </c>
      <c r="H55" s="30">
        <v>11229</v>
      </c>
      <c r="I55">
        <v>221</v>
      </c>
      <c r="J55" s="30">
        <v>6651</v>
      </c>
      <c r="K55">
        <v>103</v>
      </c>
      <c r="L55" s="30">
        <v>4206738</v>
      </c>
      <c r="M55" s="30">
        <v>223000</v>
      </c>
      <c r="N55" s="30">
        <v>18864311</v>
      </c>
    </row>
    <row r="56" spans="1:14" x14ac:dyDescent="0.25">
      <c r="A56">
        <v>50</v>
      </c>
      <c r="B56" t="s">
        <v>88</v>
      </c>
      <c r="C56" s="30">
        <v>124839</v>
      </c>
      <c r="E56" s="30">
        <v>1931</v>
      </c>
      <c r="G56" s="30">
        <v>92829</v>
      </c>
      <c r="H56" s="30">
        <v>30079</v>
      </c>
      <c r="J56" s="30">
        <v>42098</v>
      </c>
      <c r="K56">
        <v>651</v>
      </c>
      <c r="L56" s="30">
        <v>483652</v>
      </c>
      <c r="M56" s="30">
        <v>163097</v>
      </c>
      <c r="N56" s="30">
        <v>2965426</v>
      </c>
    </row>
    <row r="57" spans="1:14" x14ac:dyDescent="0.25">
      <c r="A57">
        <v>51</v>
      </c>
      <c r="B57" t="s">
        <v>71</v>
      </c>
      <c r="C57" s="30">
        <v>122435</v>
      </c>
      <c r="E57" s="30">
        <v>1089</v>
      </c>
      <c r="G57" s="30">
        <v>102113</v>
      </c>
      <c r="H57" s="30">
        <v>19233</v>
      </c>
      <c r="J57" s="30">
        <v>12959</v>
      </c>
      <c r="K57">
        <v>115</v>
      </c>
      <c r="L57" s="30">
        <v>3041384</v>
      </c>
      <c r="M57" s="30">
        <v>321904</v>
      </c>
      <c r="N57" s="30">
        <v>9448096</v>
      </c>
    </row>
    <row r="58" spans="1:14" x14ac:dyDescent="0.25">
      <c r="A58">
        <v>52</v>
      </c>
      <c r="B58" t="s">
        <v>110</v>
      </c>
      <c r="C58" s="30">
        <v>121360</v>
      </c>
      <c r="E58" s="30">
        <v>1365</v>
      </c>
      <c r="G58" s="30">
        <v>112406</v>
      </c>
      <c r="H58" s="30">
        <v>7589</v>
      </c>
      <c r="I58">
        <v>127</v>
      </c>
      <c r="J58" s="30">
        <v>23535</v>
      </c>
      <c r="K58">
        <v>265</v>
      </c>
      <c r="L58" s="30">
        <v>571472</v>
      </c>
      <c r="M58" s="30">
        <v>110825</v>
      </c>
      <c r="N58" s="30">
        <v>5156536</v>
      </c>
    </row>
    <row r="59" spans="1:14" x14ac:dyDescent="0.25">
      <c r="A59">
        <v>53</v>
      </c>
      <c r="B59" t="s">
        <v>81</v>
      </c>
      <c r="C59" s="30">
        <v>120697</v>
      </c>
      <c r="E59" s="30">
        <v>2820</v>
      </c>
      <c r="G59" s="30">
        <v>35752</v>
      </c>
      <c r="H59" s="30">
        <v>82125</v>
      </c>
      <c r="I59">
        <v>408</v>
      </c>
      <c r="J59" s="30">
        <v>17423</v>
      </c>
      <c r="K59">
        <v>407</v>
      </c>
      <c r="L59" s="30">
        <v>911936</v>
      </c>
      <c r="M59" s="30">
        <v>131637</v>
      </c>
      <c r="N59" s="30">
        <v>6927650</v>
      </c>
    </row>
    <row r="60" spans="1:14" x14ac:dyDescent="0.25">
      <c r="A60">
        <v>54</v>
      </c>
      <c r="B60" t="s">
        <v>97</v>
      </c>
      <c r="C60" s="30">
        <v>118417</v>
      </c>
      <c r="E60" s="30">
        <v>4074</v>
      </c>
      <c r="G60" s="30">
        <v>107241</v>
      </c>
      <c r="H60" s="30">
        <v>7102</v>
      </c>
      <c r="I60">
        <v>5</v>
      </c>
      <c r="J60" s="30">
        <v>6563</v>
      </c>
      <c r="K60">
        <v>226</v>
      </c>
      <c r="L60" s="30">
        <v>507476</v>
      </c>
      <c r="M60" s="30">
        <v>28124</v>
      </c>
      <c r="N60" s="30">
        <v>18043923</v>
      </c>
    </row>
    <row r="61" spans="1:14" x14ac:dyDescent="0.25">
      <c r="A61">
        <v>55</v>
      </c>
      <c r="B61" t="s">
        <v>68</v>
      </c>
      <c r="C61" s="30">
        <v>116125</v>
      </c>
      <c r="E61" s="30">
        <v>1168</v>
      </c>
      <c r="G61" s="30">
        <v>31536</v>
      </c>
      <c r="H61" s="30">
        <v>83421</v>
      </c>
      <c r="I61">
        <v>209</v>
      </c>
      <c r="J61" s="30">
        <v>13312</v>
      </c>
      <c r="K61">
        <v>134</v>
      </c>
      <c r="L61" s="30">
        <v>1610219</v>
      </c>
      <c r="M61" s="30">
        <v>184586</v>
      </c>
      <c r="N61" s="30">
        <v>8723424</v>
      </c>
    </row>
    <row r="62" spans="1:14" x14ac:dyDescent="0.25">
      <c r="A62">
        <v>56</v>
      </c>
      <c r="B62" t="s">
        <v>120</v>
      </c>
      <c r="C62" s="30">
        <v>115283</v>
      </c>
      <c r="E62">
        <v>894</v>
      </c>
      <c r="G62" s="30">
        <v>66135</v>
      </c>
      <c r="H62" s="30">
        <v>48254</v>
      </c>
      <c r="I62">
        <v>331</v>
      </c>
      <c r="J62" s="30">
        <v>16920</v>
      </c>
      <c r="K62">
        <v>131</v>
      </c>
      <c r="L62" s="30">
        <v>1463727</v>
      </c>
      <c r="M62" s="30">
        <v>214833</v>
      </c>
      <c r="N62" s="30">
        <v>6813327</v>
      </c>
    </row>
    <row r="63" spans="1:14" x14ac:dyDescent="0.25">
      <c r="A63">
        <v>57</v>
      </c>
      <c r="B63" t="s">
        <v>45</v>
      </c>
      <c r="C63" s="30">
        <v>112676</v>
      </c>
      <c r="E63" s="30">
        <v>6535</v>
      </c>
      <c r="G63" s="30">
        <v>101783</v>
      </c>
      <c r="H63" s="30">
        <v>4358</v>
      </c>
      <c r="I63">
        <v>46</v>
      </c>
      <c r="J63" s="30">
        <v>1093</v>
      </c>
      <c r="K63">
        <v>63</v>
      </c>
      <c r="L63" s="30">
        <v>1000000</v>
      </c>
      <c r="M63" s="30">
        <v>9701</v>
      </c>
      <c r="N63" s="30">
        <v>103081647</v>
      </c>
    </row>
    <row r="64" spans="1:14" x14ac:dyDescent="0.25">
      <c r="A64">
        <v>58</v>
      </c>
      <c r="B64" t="s">
        <v>164</v>
      </c>
      <c r="C64" s="30">
        <v>105352</v>
      </c>
      <c r="E64" s="30">
        <v>1636</v>
      </c>
      <c r="G64" s="30">
        <v>65534</v>
      </c>
      <c r="H64" s="30">
        <v>38182</v>
      </c>
      <c r="I64">
        <v>319</v>
      </c>
      <c r="J64">
        <v>908</v>
      </c>
      <c r="K64">
        <v>14</v>
      </c>
      <c r="L64" s="30">
        <v>1591148</v>
      </c>
      <c r="M64" s="30">
        <v>13710</v>
      </c>
      <c r="N64" s="30">
        <v>116058763</v>
      </c>
    </row>
    <row r="65" spans="1:14" x14ac:dyDescent="0.25">
      <c r="A65">
        <v>59</v>
      </c>
      <c r="B65" t="s">
        <v>73</v>
      </c>
      <c r="C65" s="30">
        <v>104435</v>
      </c>
      <c r="D65">
        <v>256</v>
      </c>
      <c r="E65" s="30">
        <v>2857</v>
      </c>
      <c r="F65">
        <v>2</v>
      </c>
      <c r="G65" s="30">
        <v>46208</v>
      </c>
      <c r="H65" s="30">
        <v>55370</v>
      </c>
      <c r="I65">
        <v>133</v>
      </c>
      <c r="J65" s="30">
        <v>10479</v>
      </c>
      <c r="K65">
        <v>287</v>
      </c>
      <c r="L65" s="30">
        <v>255418</v>
      </c>
      <c r="M65" s="30">
        <v>25629</v>
      </c>
      <c r="N65" s="30">
        <v>9965792</v>
      </c>
    </row>
    <row r="66" spans="1:14" x14ac:dyDescent="0.25">
      <c r="A66">
        <v>60</v>
      </c>
      <c r="B66" t="s">
        <v>144</v>
      </c>
      <c r="C66" s="30">
        <v>100684</v>
      </c>
      <c r="E66">
        <v>927</v>
      </c>
      <c r="G66" s="30">
        <v>81783</v>
      </c>
      <c r="H66" s="30">
        <v>17974</v>
      </c>
      <c r="J66" s="30">
        <v>25259</v>
      </c>
      <c r="K66">
        <v>233</v>
      </c>
      <c r="L66" s="30">
        <v>1012265</v>
      </c>
      <c r="M66" s="30">
        <v>253946</v>
      </c>
      <c r="N66" s="30">
        <v>3986139</v>
      </c>
    </row>
    <row r="67" spans="1:14" x14ac:dyDescent="0.25">
      <c r="A67">
        <v>61</v>
      </c>
      <c r="B67" t="s">
        <v>87</v>
      </c>
      <c r="C67" s="30">
        <v>100410</v>
      </c>
      <c r="E67" s="30">
        <v>1304</v>
      </c>
      <c r="G67" s="30">
        <v>80027</v>
      </c>
      <c r="H67" s="30">
        <v>19079</v>
      </c>
      <c r="I67">
        <v>213</v>
      </c>
      <c r="J67" s="30">
        <v>24519</v>
      </c>
      <c r="K67">
        <v>318</v>
      </c>
      <c r="L67" s="30">
        <v>667749</v>
      </c>
      <c r="M67" s="30">
        <v>163056</v>
      </c>
      <c r="N67" s="30">
        <v>4095215</v>
      </c>
    </row>
    <row r="68" spans="1:14" x14ac:dyDescent="0.25">
      <c r="A68">
        <v>62</v>
      </c>
      <c r="B68" t="s">
        <v>146</v>
      </c>
      <c r="C68" s="30">
        <v>99435</v>
      </c>
      <c r="E68">
        <v>869</v>
      </c>
      <c r="G68" s="30">
        <v>94355</v>
      </c>
      <c r="H68" s="30">
        <v>4211</v>
      </c>
      <c r="I68">
        <v>117</v>
      </c>
      <c r="J68" s="30">
        <v>3501</v>
      </c>
      <c r="K68">
        <v>31</v>
      </c>
      <c r="L68" s="30">
        <v>2276409</v>
      </c>
      <c r="M68" s="30">
        <v>80144</v>
      </c>
      <c r="N68" s="30">
        <v>28404047</v>
      </c>
    </row>
    <row r="69" spans="1:14" x14ac:dyDescent="0.25">
      <c r="A69">
        <v>63</v>
      </c>
      <c r="B69" t="s">
        <v>64</v>
      </c>
      <c r="C69" s="30">
        <v>96689</v>
      </c>
      <c r="E69" s="30">
        <v>2130</v>
      </c>
      <c r="G69" s="30">
        <v>78112</v>
      </c>
      <c r="H69" s="30">
        <v>16447</v>
      </c>
      <c r="I69">
        <v>240</v>
      </c>
      <c r="J69" s="30">
        <v>23991</v>
      </c>
      <c r="K69">
        <v>529</v>
      </c>
      <c r="L69" s="30">
        <v>435015</v>
      </c>
      <c r="M69" s="30">
        <v>107937</v>
      </c>
      <c r="N69" s="30">
        <v>4030254</v>
      </c>
    </row>
    <row r="70" spans="1:14" x14ac:dyDescent="0.25">
      <c r="A70">
        <v>64</v>
      </c>
      <c r="B70" t="s">
        <v>119</v>
      </c>
      <c r="C70" s="30">
        <v>95257</v>
      </c>
      <c r="E70">
        <v>644</v>
      </c>
      <c r="G70" s="30">
        <v>43188</v>
      </c>
      <c r="H70" s="30">
        <v>51425</v>
      </c>
      <c r="I70">
        <v>216</v>
      </c>
      <c r="J70" s="30">
        <v>17444</v>
      </c>
      <c r="K70">
        <v>118</v>
      </c>
      <c r="L70" s="30">
        <v>1010338</v>
      </c>
      <c r="M70" s="30">
        <v>185020</v>
      </c>
      <c r="N70" s="30">
        <v>5460686</v>
      </c>
    </row>
    <row r="71" spans="1:14" x14ac:dyDescent="0.25">
      <c r="A71">
        <v>65</v>
      </c>
      <c r="B71" t="s">
        <v>75</v>
      </c>
      <c r="C71" s="30">
        <v>90121</v>
      </c>
      <c r="E71" s="30">
        <v>1527</v>
      </c>
      <c r="G71" s="30">
        <v>9989</v>
      </c>
      <c r="H71" s="30">
        <v>78605</v>
      </c>
      <c r="I71">
        <v>522</v>
      </c>
      <c r="J71" s="30">
        <v>8663</v>
      </c>
      <c r="K71">
        <v>147</v>
      </c>
      <c r="L71" s="30">
        <v>2223225</v>
      </c>
      <c r="M71" s="30">
        <v>213713</v>
      </c>
      <c r="N71" s="30">
        <v>10402862</v>
      </c>
    </row>
    <row r="72" spans="1:14" x14ac:dyDescent="0.25">
      <c r="A72">
        <v>66</v>
      </c>
      <c r="B72" t="s">
        <v>99</v>
      </c>
      <c r="C72" s="30">
        <v>89898</v>
      </c>
      <c r="E72" s="30">
        <v>1107</v>
      </c>
      <c r="G72" s="30">
        <v>62243</v>
      </c>
      <c r="H72" s="30">
        <v>26548</v>
      </c>
      <c r="J72" s="30">
        <v>8835</v>
      </c>
      <c r="K72">
        <v>109</v>
      </c>
      <c r="L72" s="30">
        <v>1592280</v>
      </c>
      <c r="M72" s="30">
        <v>156490</v>
      </c>
      <c r="N72" s="30">
        <v>10174934</v>
      </c>
    </row>
    <row r="73" spans="1:14" x14ac:dyDescent="0.25">
      <c r="A73">
        <v>67</v>
      </c>
      <c r="B73" t="s">
        <v>104</v>
      </c>
      <c r="C73" s="30">
        <v>87471</v>
      </c>
      <c r="E73" s="30">
        <v>2752</v>
      </c>
      <c r="G73" s="30">
        <v>61402</v>
      </c>
      <c r="H73" s="30">
        <v>23317</v>
      </c>
      <c r="I73">
        <v>294</v>
      </c>
      <c r="J73" s="30">
        <v>7371</v>
      </c>
      <c r="K73">
        <v>232</v>
      </c>
      <c r="L73" s="30">
        <v>431220</v>
      </c>
      <c r="M73" s="30">
        <v>36338</v>
      </c>
      <c r="N73" s="30">
        <v>11866931</v>
      </c>
    </row>
    <row r="74" spans="1:14" x14ac:dyDescent="0.25">
      <c r="A74">
        <v>68</v>
      </c>
      <c r="B74" t="s">
        <v>28</v>
      </c>
      <c r="C74" s="30">
        <v>86431</v>
      </c>
      <c r="D74">
        <v>17</v>
      </c>
      <c r="E74" s="30">
        <v>4634</v>
      </c>
      <c r="G74" s="30">
        <v>81481</v>
      </c>
      <c r="H74">
        <v>316</v>
      </c>
      <c r="I74">
        <v>5</v>
      </c>
      <c r="J74">
        <v>60</v>
      </c>
      <c r="K74">
        <v>3</v>
      </c>
      <c r="L74" s="30">
        <v>160000000</v>
      </c>
      <c r="M74" s="30">
        <v>111163</v>
      </c>
      <c r="N74" s="30">
        <v>1439323776</v>
      </c>
    </row>
    <row r="75" spans="1:14" x14ac:dyDescent="0.25">
      <c r="A75">
        <v>69</v>
      </c>
      <c r="B75" t="s">
        <v>134</v>
      </c>
      <c r="C75" s="30">
        <v>85591</v>
      </c>
      <c r="E75">
        <v>338</v>
      </c>
      <c r="G75" s="30">
        <v>83617</v>
      </c>
      <c r="H75" s="30">
        <v>1636</v>
      </c>
      <c r="I75">
        <v>15</v>
      </c>
      <c r="J75" s="30">
        <v>49645</v>
      </c>
      <c r="K75">
        <v>196</v>
      </c>
      <c r="L75" s="30">
        <v>1962910</v>
      </c>
      <c r="M75" s="30">
        <v>1138540</v>
      </c>
      <c r="N75" s="30">
        <v>1724059</v>
      </c>
    </row>
    <row r="76" spans="1:14" x14ac:dyDescent="0.25">
      <c r="A76">
        <v>70</v>
      </c>
      <c r="B76" t="s">
        <v>80</v>
      </c>
      <c r="C76" s="30">
        <v>79309</v>
      </c>
      <c r="E76" s="30">
        <v>2246</v>
      </c>
      <c r="G76" s="30">
        <v>43793</v>
      </c>
      <c r="H76" s="30">
        <v>33270</v>
      </c>
      <c r="J76" s="30">
        <v>24233</v>
      </c>
      <c r="K76">
        <v>686</v>
      </c>
      <c r="L76" s="30">
        <v>390919</v>
      </c>
      <c r="M76" s="30">
        <v>119448</v>
      </c>
      <c r="N76" s="30">
        <v>3272716</v>
      </c>
    </row>
    <row r="77" spans="1:14" x14ac:dyDescent="0.25">
      <c r="A77">
        <v>71</v>
      </c>
      <c r="B77" t="s">
        <v>166</v>
      </c>
      <c r="C77" s="30">
        <v>77848</v>
      </c>
      <c r="E77" s="30">
        <v>1722</v>
      </c>
      <c r="G77" s="30">
        <v>57679</v>
      </c>
      <c r="H77" s="30">
        <v>18447</v>
      </c>
      <c r="J77" s="30">
        <v>1427</v>
      </c>
      <c r="K77">
        <v>32</v>
      </c>
      <c r="L77" s="30">
        <v>1004357</v>
      </c>
      <c r="M77" s="30">
        <v>18411</v>
      </c>
      <c r="N77" s="30">
        <v>54552850</v>
      </c>
    </row>
    <row r="78" spans="1:14" x14ac:dyDescent="0.25">
      <c r="A78">
        <v>72</v>
      </c>
      <c r="B78" t="s">
        <v>179</v>
      </c>
      <c r="C78" s="30">
        <v>76808</v>
      </c>
      <c r="E78" s="30">
        <v>1068</v>
      </c>
      <c r="G78" s="30">
        <v>47587</v>
      </c>
      <c r="H78" s="30">
        <v>28153</v>
      </c>
      <c r="J78" s="30">
        <v>11119</v>
      </c>
      <c r="K78">
        <v>155</v>
      </c>
      <c r="L78" s="30">
        <v>391888</v>
      </c>
      <c r="M78" s="30">
        <v>56732</v>
      </c>
      <c r="N78" s="30">
        <v>6907674</v>
      </c>
    </row>
    <row r="79" spans="1:14" x14ac:dyDescent="0.25">
      <c r="A79">
        <v>73</v>
      </c>
      <c r="B79" t="s">
        <v>100</v>
      </c>
      <c r="C79" s="30">
        <v>76404</v>
      </c>
      <c r="E79" s="30">
        <v>1366</v>
      </c>
      <c r="G79" s="30">
        <v>51352</v>
      </c>
      <c r="H79" s="30">
        <v>23686</v>
      </c>
      <c r="I79">
        <v>59</v>
      </c>
      <c r="J79" s="30">
        <v>1409</v>
      </c>
      <c r="K79">
        <v>25</v>
      </c>
      <c r="L79" s="30">
        <v>833004</v>
      </c>
      <c r="M79" s="30">
        <v>15361</v>
      </c>
      <c r="N79" s="30">
        <v>54228230</v>
      </c>
    </row>
    <row r="80" spans="1:14" x14ac:dyDescent="0.25">
      <c r="A80">
        <v>74</v>
      </c>
      <c r="B80" t="s">
        <v>147</v>
      </c>
      <c r="C80" s="30">
        <v>75857</v>
      </c>
      <c r="E80" s="30">
        <v>1652</v>
      </c>
      <c r="G80" s="30">
        <v>53988</v>
      </c>
      <c r="H80" s="30">
        <v>20217</v>
      </c>
      <c r="I80">
        <v>126</v>
      </c>
      <c r="J80" s="30">
        <v>10585</v>
      </c>
      <c r="K80">
        <v>231</v>
      </c>
      <c r="L80" s="30">
        <v>420258</v>
      </c>
      <c r="M80" s="30">
        <v>58640</v>
      </c>
      <c r="N80" s="30">
        <v>7166700</v>
      </c>
    </row>
    <row r="81" spans="1:14" x14ac:dyDescent="0.25">
      <c r="A81">
        <v>75</v>
      </c>
      <c r="B81" t="s">
        <v>50</v>
      </c>
      <c r="C81" s="30">
        <v>73774</v>
      </c>
      <c r="E81" s="30">
        <v>2255</v>
      </c>
      <c r="G81" s="30">
        <v>48183</v>
      </c>
      <c r="H81" s="30">
        <v>23336</v>
      </c>
      <c r="I81">
        <v>50</v>
      </c>
      <c r="J81" s="30">
        <v>1671</v>
      </c>
      <c r="K81">
        <v>51</v>
      </c>
      <c r="N81" s="30">
        <v>44157874</v>
      </c>
    </row>
    <row r="82" spans="1:14" x14ac:dyDescent="0.25">
      <c r="A82">
        <v>76</v>
      </c>
      <c r="B82" t="s">
        <v>135</v>
      </c>
      <c r="C82" s="30">
        <v>71431</v>
      </c>
      <c r="E82">
        <v>603</v>
      </c>
      <c r="G82" s="30">
        <v>68659</v>
      </c>
      <c r="H82" s="30">
        <v>2169</v>
      </c>
      <c r="I82">
        <v>250</v>
      </c>
      <c r="J82" s="30">
        <v>2122</v>
      </c>
      <c r="K82">
        <v>18</v>
      </c>
      <c r="L82" s="30">
        <v>1377915</v>
      </c>
      <c r="M82" s="30">
        <v>40939</v>
      </c>
      <c r="N82" s="30">
        <v>33657891</v>
      </c>
    </row>
    <row r="83" spans="1:14" x14ac:dyDescent="0.25">
      <c r="A83">
        <v>77</v>
      </c>
      <c r="B83" t="s">
        <v>176</v>
      </c>
      <c r="C83" s="30">
        <v>70254</v>
      </c>
      <c r="E83">
        <v>620</v>
      </c>
      <c r="G83" s="30">
        <v>58383</v>
      </c>
      <c r="H83" s="30">
        <v>11251</v>
      </c>
      <c r="J83" s="30">
        <v>13649</v>
      </c>
      <c r="K83">
        <v>120</v>
      </c>
      <c r="L83" s="30">
        <v>618985</v>
      </c>
      <c r="M83" s="30">
        <v>120259</v>
      </c>
      <c r="N83" s="30">
        <v>5147101</v>
      </c>
    </row>
    <row r="84" spans="1:14" x14ac:dyDescent="0.25">
      <c r="A84">
        <v>78</v>
      </c>
      <c r="B84" t="s">
        <v>36</v>
      </c>
      <c r="C84" s="30">
        <v>70143</v>
      </c>
      <c r="E84" s="30">
        <v>2022</v>
      </c>
      <c r="G84" s="30">
        <v>23364</v>
      </c>
      <c r="H84" s="30">
        <v>44757</v>
      </c>
      <c r="I84">
        <v>32</v>
      </c>
      <c r="J84" s="30">
        <v>14144</v>
      </c>
      <c r="K84">
        <v>408</v>
      </c>
      <c r="L84" s="30">
        <v>1869645</v>
      </c>
      <c r="M84" s="30">
        <v>376996</v>
      </c>
      <c r="N84" s="30">
        <v>4959318</v>
      </c>
    </row>
    <row r="85" spans="1:14" x14ac:dyDescent="0.25">
      <c r="A85">
        <v>79</v>
      </c>
      <c r="B85" t="s">
        <v>51</v>
      </c>
      <c r="C85" s="30">
        <v>69635</v>
      </c>
      <c r="E85">
        <v>781</v>
      </c>
      <c r="G85" s="30">
        <v>54436</v>
      </c>
      <c r="H85" s="30">
        <v>14418</v>
      </c>
      <c r="I85">
        <v>40</v>
      </c>
      <c r="J85" s="30">
        <v>12006</v>
      </c>
      <c r="K85">
        <v>135</v>
      </c>
      <c r="L85" s="30">
        <v>6765419</v>
      </c>
      <c r="M85" s="30">
        <v>1166406</v>
      </c>
      <c r="N85" s="30">
        <v>5800227</v>
      </c>
    </row>
    <row r="86" spans="1:14" x14ac:dyDescent="0.25">
      <c r="A86">
        <v>80</v>
      </c>
      <c r="B86" t="s">
        <v>131</v>
      </c>
      <c r="C86" s="30">
        <v>69149</v>
      </c>
      <c r="E86" s="30">
        <v>1227</v>
      </c>
      <c r="G86" s="30">
        <v>60294</v>
      </c>
      <c r="H86" s="30">
        <v>7628</v>
      </c>
      <c r="I86">
        <v>122</v>
      </c>
      <c r="J86" s="30">
        <v>10531</v>
      </c>
      <c r="K86">
        <v>187</v>
      </c>
      <c r="L86" s="30">
        <v>480095</v>
      </c>
      <c r="M86" s="30">
        <v>73119</v>
      </c>
      <c r="N86" s="30">
        <v>6565976</v>
      </c>
    </row>
    <row r="87" spans="1:14" x14ac:dyDescent="0.25">
      <c r="A87">
        <v>81</v>
      </c>
      <c r="B87" t="s">
        <v>67</v>
      </c>
      <c r="C87" s="30">
        <v>66228</v>
      </c>
      <c r="E87" s="30">
        <v>1166</v>
      </c>
      <c r="G87" s="30">
        <v>61884</v>
      </c>
      <c r="H87" s="30">
        <v>3178</v>
      </c>
      <c r="I87">
        <v>10</v>
      </c>
      <c r="J87">
        <v>318</v>
      </c>
      <c r="K87">
        <v>6</v>
      </c>
      <c r="L87" s="30">
        <v>739216</v>
      </c>
      <c r="M87" s="30">
        <v>3552</v>
      </c>
      <c r="N87" s="30">
        <v>208104486</v>
      </c>
    </row>
    <row r="88" spans="1:14" x14ac:dyDescent="0.25">
      <c r="A88">
        <v>82</v>
      </c>
      <c r="B88" t="s">
        <v>85</v>
      </c>
      <c r="C88" s="30">
        <v>64284</v>
      </c>
      <c r="E88" s="30">
        <v>1026</v>
      </c>
      <c r="G88" s="30">
        <v>43272</v>
      </c>
      <c r="H88" s="30">
        <v>19986</v>
      </c>
      <c r="I88">
        <v>197</v>
      </c>
      <c r="J88" s="30">
        <v>30920</v>
      </c>
      <c r="K88">
        <v>493</v>
      </c>
      <c r="L88" s="30">
        <v>473845</v>
      </c>
      <c r="M88" s="30">
        <v>227914</v>
      </c>
      <c r="N88" s="30">
        <v>2079051</v>
      </c>
    </row>
    <row r="89" spans="1:14" x14ac:dyDescent="0.25">
      <c r="A89">
        <v>83</v>
      </c>
      <c r="B89" t="s">
        <v>123</v>
      </c>
      <c r="C89" s="30">
        <v>58148</v>
      </c>
      <c r="E89">
        <v>28</v>
      </c>
      <c r="G89" s="30">
        <v>58064</v>
      </c>
      <c r="H89">
        <v>56</v>
      </c>
      <c r="I89">
        <v>1</v>
      </c>
      <c r="J89" s="30">
        <v>9909</v>
      </c>
      <c r="K89">
        <v>5</v>
      </c>
      <c r="L89" s="30">
        <v>4227877</v>
      </c>
      <c r="M89" s="30">
        <v>720452</v>
      </c>
      <c r="N89" s="30">
        <v>5868365</v>
      </c>
    </row>
    <row r="90" spans="1:14" x14ac:dyDescent="0.25">
      <c r="A90">
        <v>84</v>
      </c>
      <c r="B90" t="s">
        <v>83</v>
      </c>
      <c r="C90" s="30">
        <v>53679</v>
      </c>
      <c r="E90">
        <v>332</v>
      </c>
      <c r="G90" s="30">
        <v>40493</v>
      </c>
      <c r="H90" s="30">
        <v>12854</v>
      </c>
      <c r="I90">
        <v>108</v>
      </c>
      <c r="J90" s="30">
        <v>1650</v>
      </c>
      <c r="K90">
        <v>10</v>
      </c>
      <c r="L90" s="30">
        <v>2510332</v>
      </c>
      <c r="M90" s="30">
        <v>77175</v>
      </c>
      <c r="N90" s="30">
        <v>32527602</v>
      </c>
    </row>
    <row r="91" spans="1:14" x14ac:dyDescent="0.25">
      <c r="A91">
        <v>85</v>
      </c>
      <c r="B91" t="s">
        <v>82</v>
      </c>
      <c r="C91" s="30">
        <v>53631</v>
      </c>
      <c r="E91" s="30">
        <v>1487</v>
      </c>
      <c r="G91" s="30">
        <v>31659</v>
      </c>
      <c r="H91" s="30">
        <v>20485</v>
      </c>
      <c r="I91">
        <v>138</v>
      </c>
      <c r="J91" s="30">
        <v>25743</v>
      </c>
      <c r="K91">
        <v>714</v>
      </c>
      <c r="L91" s="30">
        <v>309590</v>
      </c>
      <c r="M91" s="30">
        <v>148603</v>
      </c>
      <c r="N91" s="30">
        <v>2083340</v>
      </c>
    </row>
    <row r="92" spans="1:14" x14ac:dyDescent="0.25">
      <c r="A92">
        <v>86</v>
      </c>
      <c r="B92" t="s">
        <v>114</v>
      </c>
      <c r="C92" s="30">
        <v>50717</v>
      </c>
      <c r="E92">
        <v>323</v>
      </c>
      <c r="G92" s="30">
        <v>49281</v>
      </c>
      <c r="H92" s="30">
        <v>1113</v>
      </c>
      <c r="I92">
        <v>15</v>
      </c>
      <c r="J92" s="30">
        <v>1619</v>
      </c>
      <c r="K92">
        <v>10</v>
      </c>
      <c r="L92" s="30">
        <v>573754</v>
      </c>
      <c r="M92" s="30">
        <v>18317</v>
      </c>
      <c r="N92" s="30">
        <v>31323488</v>
      </c>
    </row>
    <row r="93" spans="1:14" x14ac:dyDescent="0.25">
      <c r="A93">
        <v>87</v>
      </c>
      <c r="B93" t="s">
        <v>94</v>
      </c>
      <c r="C93" s="30">
        <v>44740</v>
      </c>
      <c r="E93">
        <v>374</v>
      </c>
      <c r="G93" s="30">
        <v>10869</v>
      </c>
      <c r="H93" s="30">
        <v>33497</v>
      </c>
      <c r="I93">
        <v>117</v>
      </c>
      <c r="J93" s="30">
        <v>16527</v>
      </c>
      <c r="K93">
        <v>138</v>
      </c>
      <c r="L93" s="30">
        <v>1255623</v>
      </c>
      <c r="M93" s="30">
        <v>463826</v>
      </c>
      <c r="N93" s="30">
        <v>2707101</v>
      </c>
    </row>
    <row r="94" spans="1:14" x14ac:dyDescent="0.25">
      <c r="A94">
        <v>88</v>
      </c>
      <c r="B94" t="s">
        <v>70</v>
      </c>
      <c r="C94" s="30">
        <v>44503</v>
      </c>
      <c r="E94" s="30">
        <v>1675</v>
      </c>
      <c r="G94" s="30">
        <v>35422</v>
      </c>
      <c r="H94" s="30">
        <v>7406</v>
      </c>
      <c r="I94">
        <v>93</v>
      </c>
      <c r="J94" s="30">
        <v>1133</v>
      </c>
      <c r="K94">
        <v>43</v>
      </c>
      <c r="L94" s="30">
        <v>139070</v>
      </c>
      <c r="M94" s="30">
        <v>3542</v>
      </c>
      <c r="N94" s="30">
        <v>39266377</v>
      </c>
    </row>
    <row r="95" spans="1:14" x14ac:dyDescent="0.25">
      <c r="A95">
        <v>89</v>
      </c>
      <c r="B95" t="s">
        <v>112</v>
      </c>
      <c r="C95" s="30">
        <v>37250</v>
      </c>
      <c r="E95" s="30">
        <v>1070</v>
      </c>
      <c r="G95" s="30">
        <v>33984</v>
      </c>
      <c r="H95" s="30">
        <v>2196</v>
      </c>
      <c r="I95">
        <v>41</v>
      </c>
      <c r="J95" s="30">
        <v>5732</v>
      </c>
      <c r="K95">
        <v>165</v>
      </c>
      <c r="L95" s="30">
        <v>524508</v>
      </c>
      <c r="M95" s="30">
        <v>80705</v>
      </c>
      <c r="N95" s="30">
        <v>6499062</v>
      </c>
    </row>
    <row r="96" spans="1:14" x14ac:dyDescent="0.25">
      <c r="A96">
        <v>90</v>
      </c>
      <c r="B96" t="s">
        <v>69</v>
      </c>
      <c r="C96" s="30">
        <v>32352</v>
      </c>
      <c r="E96">
        <v>306</v>
      </c>
      <c r="G96" s="30">
        <v>20956</v>
      </c>
      <c r="H96" s="30">
        <v>11090</v>
      </c>
      <c r="I96">
        <v>34</v>
      </c>
      <c r="J96" s="30">
        <v>5949</v>
      </c>
      <c r="K96">
        <v>56</v>
      </c>
      <c r="L96" s="30">
        <v>2102274</v>
      </c>
      <c r="M96" s="30">
        <v>386600</v>
      </c>
      <c r="N96" s="30">
        <v>5437847</v>
      </c>
    </row>
    <row r="97" spans="1:14" x14ac:dyDescent="0.25">
      <c r="A97">
        <v>91</v>
      </c>
      <c r="B97" t="s">
        <v>115</v>
      </c>
      <c r="C97" s="30">
        <v>32196</v>
      </c>
      <c r="E97">
        <v>685</v>
      </c>
      <c r="G97" s="30">
        <v>15469</v>
      </c>
      <c r="H97" s="30">
        <v>16042</v>
      </c>
      <c r="I97">
        <v>13</v>
      </c>
      <c r="J97" s="30">
        <v>11193</v>
      </c>
      <c r="K97">
        <v>238</v>
      </c>
      <c r="L97" s="30">
        <v>166365</v>
      </c>
      <c r="M97" s="30">
        <v>57835</v>
      </c>
      <c r="N97" s="30">
        <v>2876555</v>
      </c>
    </row>
    <row r="98" spans="1:14" x14ac:dyDescent="0.25">
      <c r="A98">
        <v>92</v>
      </c>
      <c r="B98" t="s">
        <v>62</v>
      </c>
      <c r="C98" s="30">
        <v>30733</v>
      </c>
      <c r="D98">
        <v>330</v>
      </c>
      <c r="E98">
        <v>505</v>
      </c>
      <c r="F98">
        <v>2</v>
      </c>
      <c r="G98" s="30">
        <v>26466</v>
      </c>
      <c r="H98" s="30">
        <v>3762</v>
      </c>
      <c r="I98">
        <v>87</v>
      </c>
      <c r="J98">
        <v>599</v>
      </c>
      <c r="K98">
        <v>10</v>
      </c>
      <c r="L98" s="30">
        <v>2908890</v>
      </c>
      <c r="M98" s="30">
        <v>56718</v>
      </c>
      <c r="N98" s="30">
        <v>51286589</v>
      </c>
    </row>
    <row r="99" spans="1:14" x14ac:dyDescent="0.25">
      <c r="A99">
        <v>93</v>
      </c>
      <c r="B99" t="s">
        <v>156</v>
      </c>
      <c r="C99" s="30">
        <v>30653</v>
      </c>
      <c r="E99">
        <v>434</v>
      </c>
      <c r="G99" s="30">
        <v>19129</v>
      </c>
      <c r="H99" s="30">
        <v>11090</v>
      </c>
      <c r="I99">
        <v>31</v>
      </c>
      <c r="J99" s="30">
        <v>48803</v>
      </c>
      <c r="K99">
        <v>691</v>
      </c>
      <c r="L99" s="30">
        <v>120131</v>
      </c>
      <c r="M99" s="30">
        <v>191262</v>
      </c>
      <c r="N99" s="30">
        <v>628097</v>
      </c>
    </row>
    <row r="100" spans="1:14" x14ac:dyDescent="0.25">
      <c r="A100">
        <v>94</v>
      </c>
      <c r="B100" t="s">
        <v>84</v>
      </c>
      <c r="C100" s="30">
        <v>30333</v>
      </c>
      <c r="E100">
        <v>262</v>
      </c>
      <c r="G100" s="30">
        <v>20014</v>
      </c>
      <c r="H100" s="30">
        <v>10057</v>
      </c>
      <c r="I100">
        <v>43</v>
      </c>
      <c r="J100" s="30">
        <v>48153</v>
      </c>
      <c r="K100">
        <v>416</v>
      </c>
      <c r="L100" s="30">
        <v>1284620</v>
      </c>
      <c r="M100" s="30">
        <v>2039299</v>
      </c>
      <c r="N100" s="30">
        <v>629932</v>
      </c>
    </row>
    <row r="101" spans="1:14" x14ac:dyDescent="0.25">
      <c r="A101">
        <v>95</v>
      </c>
      <c r="B101" t="s">
        <v>86</v>
      </c>
      <c r="C101" s="30">
        <v>27819</v>
      </c>
      <c r="D101">
        <v>13</v>
      </c>
      <c r="E101">
        <v>907</v>
      </c>
      <c r="G101" s="30">
        <v>25522</v>
      </c>
      <c r="H101" s="30">
        <v>1390</v>
      </c>
      <c r="J101" s="30">
        <v>1086</v>
      </c>
      <c r="K101">
        <v>35</v>
      </c>
      <c r="L101" s="30">
        <v>9713327</v>
      </c>
      <c r="M101" s="30">
        <v>379200</v>
      </c>
      <c r="N101" s="30">
        <v>25615331</v>
      </c>
    </row>
    <row r="102" spans="1:14" x14ac:dyDescent="0.25">
      <c r="A102">
        <v>96</v>
      </c>
      <c r="B102" t="s">
        <v>74</v>
      </c>
      <c r="C102" s="30">
        <v>23528</v>
      </c>
      <c r="E102">
        <v>435</v>
      </c>
      <c r="G102" s="30">
        <v>22177</v>
      </c>
      <c r="H102">
        <v>916</v>
      </c>
      <c r="I102">
        <v>52</v>
      </c>
      <c r="J102">
        <v>878</v>
      </c>
      <c r="K102">
        <v>16</v>
      </c>
      <c r="L102" s="30">
        <v>149000</v>
      </c>
      <c r="M102" s="30">
        <v>5560</v>
      </c>
      <c r="N102" s="30">
        <v>26799958</v>
      </c>
    </row>
    <row r="103" spans="1:14" x14ac:dyDescent="0.25">
      <c r="A103">
        <v>97</v>
      </c>
      <c r="B103" t="s">
        <v>60</v>
      </c>
      <c r="C103" s="30">
        <v>21216</v>
      </c>
      <c r="E103">
        <v>375</v>
      </c>
      <c r="G103" s="30">
        <v>15300</v>
      </c>
      <c r="H103" s="30">
        <v>5541</v>
      </c>
      <c r="I103">
        <v>10</v>
      </c>
      <c r="J103" s="30">
        <v>3827</v>
      </c>
      <c r="K103">
        <v>68</v>
      </c>
      <c r="L103" s="30">
        <v>1791727</v>
      </c>
      <c r="M103" s="30">
        <v>323176</v>
      </c>
      <c r="N103" s="30">
        <v>5544113</v>
      </c>
    </row>
    <row r="104" spans="1:14" x14ac:dyDescent="0.25">
      <c r="A104">
        <v>98</v>
      </c>
      <c r="B104" t="s">
        <v>117</v>
      </c>
      <c r="C104" s="30">
        <v>21126</v>
      </c>
      <c r="E104">
        <v>129</v>
      </c>
      <c r="G104" s="30">
        <v>20777</v>
      </c>
      <c r="H104">
        <v>220</v>
      </c>
      <c r="J104">
        <v>793</v>
      </c>
      <c r="K104">
        <v>5</v>
      </c>
      <c r="L104" s="30">
        <v>209295</v>
      </c>
      <c r="M104" s="30">
        <v>7860</v>
      </c>
      <c r="N104" s="30">
        <v>26629489</v>
      </c>
    </row>
    <row r="105" spans="1:14" x14ac:dyDescent="0.25">
      <c r="A105">
        <v>99</v>
      </c>
      <c r="B105" t="s">
        <v>151</v>
      </c>
      <c r="C105" s="30">
        <v>19771</v>
      </c>
      <c r="E105">
        <v>83</v>
      </c>
      <c r="G105" s="30">
        <v>13590</v>
      </c>
      <c r="H105" s="30">
        <v>6098</v>
      </c>
      <c r="J105">
        <v>922</v>
      </c>
      <c r="K105">
        <v>4</v>
      </c>
      <c r="L105" s="30">
        <v>724864</v>
      </c>
      <c r="M105" s="30">
        <v>33795</v>
      </c>
      <c r="N105" s="30">
        <v>21448549</v>
      </c>
    </row>
    <row r="106" spans="1:14" x14ac:dyDescent="0.25">
      <c r="A106">
        <v>100</v>
      </c>
      <c r="B106" t="s">
        <v>205</v>
      </c>
      <c r="C106" s="30">
        <v>17667</v>
      </c>
      <c r="E106">
        <v>168</v>
      </c>
      <c r="G106" s="30">
        <v>8611</v>
      </c>
      <c r="H106" s="30">
        <v>8888</v>
      </c>
      <c r="J106">
        <v>382</v>
      </c>
      <c r="K106">
        <v>4</v>
      </c>
      <c r="L106" s="30">
        <v>607583</v>
      </c>
      <c r="M106" s="30">
        <v>13125</v>
      </c>
      <c r="N106" s="30">
        <v>46292203</v>
      </c>
    </row>
    <row r="107" spans="1:14" x14ac:dyDescent="0.25">
      <c r="A107">
        <v>101</v>
      </c>
      <c r="B107" t="s">
        <v>161</v>
      </c>
      <c r="C107" s="30">
        <v>17394</v>
      </c>
      <c r="E107">
        <v>356</v>
      </c>
      <c r="G107" s="30">
        <v>16659</v>
      </c>
      <c r="H107">
        <v>379</v>
      </c>
      <c r="J107">
        <v>936</v>
      </c>
      <c r="K107">
        <v>19</v>
      </c>
      <c r="L107" s="30">
        <v>361046</v>
      </c>
      <c r="M107" s="30">
        <v>19431</v>
      </c>
      <c r="N107" s="30">
        <v>18581229</v>
      </c>
    </row>
    <row r="108" spans="1:14" x14ac:dyDescent="0.25">
      <c r="A108">
        <v>102</v>
      </c>
      <c r="B108" t="s">
        <v>182</v>
      </c>
      <c r="C108" s="30">
        <v>17310</v>
      </c>
      <c r="E108">
        <v>250</v>
      </c>
      <c r="G108" s="30">
        <v>16592</v>
      </c>
      <c r="H108">
        <v>468</v>
      </c>
      <c r="I108">
        <v>16</v>
      </c>
      <c r="J108">
        <v>619</v>
      </c>
      <c r="K108">
        <v>9</v>
      </c>
      <c r="L108" s="30">
        <v>92992</v>
      </c>
      <c r="M108" s="30">
        <v>3325</v>
      </c>
      <c r="N108" s="30">
        <v>27964504</v>
      </c>
    </row>
    <row r="109" spans="1:14" x14ac:dyDescent="0.25">
      <c r="A109">
        <v>103</v>
      </c>
      <c r="B109" t="s">
        <v>111</v>
      </c>
      <c r="C109" s="30">
        <v>15865</v>
      </c>
      <c r="E109">
        <v>330</v>
      </c>
      <c r="G109" s="30">
        <v>15465</v>
      </c>
      <c r="H109">
        <v>70</v>
      </c>
      <c r="I109">
        <v>2</v>
      </c>
      <c r="J109">
        <v>938</v>
      </c>
      <c r="K109">
        <v>20</v>
      </c>
      <c r="L109" s="30">
        <v>223338</v>
      </c>
      <c r="M109" s="30">
        <v>13205</v>
      </c>
      <c r="N109" s="30">
        <v>16913315</v>
      </c>
    </row>
    <row r="110" spans="1:14" x14ac:dyDescent="0.25">
      <c r="A110">
        <v>104</v>
      </c>
      <c r="B110" t="s">
        <v>78</v>
      </c>
      <c r="C110" s="30">
        <v>15839</v>
      </c>
      <c r="E110" s="30">
        <v>1193</v>
      </c>
      <c r="G110" s="30">
        <v>9727</v>
      </c>
      <c r="H110" s="30">
        <v>4919</v>
      </c>
      <c r="J110">
        <v>358</v>
      </c>
      <c r="K110">
        <v>27</v>
      </c>
      <c r="N110" s="30">
        <v>44243640</v>
      </c>
    </row>
    <row r="111" spans="1:14" x14ac:dyDescent="0.25">
      <c r="A111">
        <v>105</v>
      </c>
      <c r="B111" t="s">
        <v>189</v>
      </c>
      <c r="C111" s="30">
        <v>14981</v>
      </c>
      <c r="E111">
        <v>123</v>
      </c>
      <c r="G111" s="30">
        <v>13151</v>
      </c>
      <c r="H111" s="30">
        <v>1707</v>
      </c>
      <c r="J111">
        <v>474</v>
      </c>
      <c r="K111">
        <v>4</v>
      </c>
      <c r="L111" s="30">
        <v>220268</v>
      </c>
      <c r="M111" s="30">
        <v>6973</v>
      </c>
      <c r="N111" s="30">
        <v>31590955</v>
      </c>
    </row>
    <row r="112" spans="1:14" x14ac:dyDescent="0.25">
      <c r="A112">
        <v>106</v>
      </c>
      <c r="B112" t="s">
        <v>174</v>
      </c>
      <c r="C112" s="30">
        <v>14413</v>
      </c>
      <c r="E112">
        <v>336</v>
      </c>
      <c r="G112" s="30">
        <v>7273</v>
      </c>
      <c r="H112" s="30">
        <v>6804</v>
      </c>
      <c r="I112">
        <v>23</v>
      </c>
      <c r="J112">
        <v>433</v>
      </c>
      <c r="K112">
        <v>10</v>
      </c>
      <c r="L112" s="30">
        <v>171247</v>
      </c>
      <c r="M112" s="30">
        <v>5149</v>
      </c>
      <c r="N112" s="30">
        <v>33256592</v>
      </c>
    </row>
    <row r="113" spans="1:14" x14ac:dyDescent="0.25">
      <c r="A113">
        <v>107</v>
      </c>
      <c r="B113" t="s">
        <v>216</v>
      </c>
      <c r="C113" s="30">
        <v>13811</v>
      </c>
      <c r="E113">
        <v>145</v>
      </c>
      <c r="G113" s="30">
        <v>13209</v>
      </c>
      <c r="H113">
        <v>457</v>
      </c>
      <c r="I113">
        <v>4</v>
      </c>
      <c r="J113" s="30">
        <v>5398</v>
      </c>
      <c r="K113">
        <v>57</v>
      </c>
      <c r="L113" s="30">
        <v>146495</v>
      </c>
      <c r="M113" s="30">
        <v>57253</v>
      </c>
      <c r="N113" s="30">
        <v>2558735</v>
      </c>
    </row>
    <row r="114" spans="1:14" x14ac:dyDescent="0.25">
      <c r="A114">
        <v>108</v>
      </c>
      <c r="B114" t="s">
        <v>210</v>
      </c>
      <c r="C114" s="30">
        <v>12978</v>
      </c>
      <c r="E114">
        <v>63</v>
      </c>
      <c r="G114" s="30">
        <v>4842</v>
      </c>
      <c r="H114" s="30">
        <v>8073</v>
      </c>
      <c r="I114">
        <v>23</v>
      </c>
      <c r="J114" s="30">
        <v>46096</v>
      </c>
      <c r="K114">
        <v>224</v>
      </c>
      <c r="L114" s="30">
        <v>26355</v>
      </c>
      <c r="M114" s="30">
        <v>93608</v>
      </c>
      <c r="N114" s="30">
        <v>281545</v>
      </c>
    </row>
    <row r="115" spans="1:14" x14ac:dyDescent="0.25">
      <c r="A115">
        <v>109</v>
      </c>
      <c r="B115" t="s">
        <v>128</v>
      </c>
      <c r="C115" s="30">
        <v>12798</v>
      </c>
      <c r="E115">
        <v>75</v>
      </c>
      <c r="G115" s="30">
        <v>11821</v>
      </c>
      <c r="H115">
        <v>902</v>
      </c>
      <c r="I115">
        <v>24</v>
      </c>
      <c r="J115">
        <v>964</v>
      </c>
      <c r="K115">
        <v>6</v>
      </c>
      <c r="L115" s="30">
        <v>60369</v>
      </c>
      <c r="M115" s="30">
        <v>4549</v>
      </c>
      <c r="N115" s="30">
        <v>13269425</v>
      </c>
    </row>
    <row r="116" spans="1:14" x14ac:dyDescent="0.25">
      <c r="A116">
        <v>110</v>
      </c>
      <c r="B116" t="s">
        <v>124</v>
      </c>
      <c r="C116" s="30">
        <v>12744</v>
      </c>
      <c r="E116">
        <v>153</v>
      </c>
      <c r="G116" s="30">
        <v>1557</v>
      </c>
      <c r="H116" s="30">
        <v>11034</v>
      </c>
      <c r="I116">
        <v>24</v>
      </c>
      <c r="J116" s="30">
        <v>6786</v>
      </c>
      <c r="K116">
        <v>81</v>
      </c>
      <c r="L116" s="30">
        <v>572568</v>
      </c>
      <c r="M116" s="30">
        <v>304901</v>
      </c>
      <c r="N116" s="30">
        <v>1877881</v>
      </c>
    </row>
    <row r="117" spans="1:14" x14ac:dyDescent="0.25">
      <c r="A117">
        <v>111</v>
      </c>
      <c r="B117" t="s">
        <v>167</v>
      </c>
      <c r="C117" s="30">
        <v>12578</v>
      </c>
      <c r="E117">
        <v>45</v>
      </c>
      <c r="G117" s="30">
        <v>11559</v>
      </c>
      <c r="H117">
        <v>974</v>
      </c>
      <c r="I117">
        <v>12</v>
      </c>
      <c r="J117" s="30">
        <v>23111</v>
      </c>
      <c r="K117">
        <v>83</v>
      </c>
      <c r="L117" s="30">
        <v>150743</v>
      </c>
      <c r="M117" s="30">
        <v>276981</v>
      </c>
      <c r="N117" s="30">
        <v>544235</v>
      </c>
    </row>
    <row r="118" spans="1:14" x14ac:dyDescent="0.25">
      <c r="A118">
        <v>112</v>
      </c>
      <c r="B118" t="s">
        <v>91</v>
      </c>
      <c r="C118" s="30">
        <v>12180</v>
      </c>
      <c r="E118">
        <v>327</v>
      </c>
      <c r="G118" s="30">
        <v>11300</v>
      </c>
      <c r="H118">
        <v>553</v>
      </c>
      <c r="J118">
        <v>134</v>
      </c>
      <c r="K118">
        <v>4</v>
      </c>
      <c r="N118" s="30">
        <v>90601794</v>
      </c>
    </row>
    <row r="119" spans="1:14" x14ac:dyDescent="0.25">
      <c r="A119">
        <v>113</v>
      </c>
      <c r="B119" t="s">
        <v>105</v>
      </c>
      <c r="C119" s="30">
        <v>11854</v>
      </c>
      <c r="E119">
        <v>86</v>
      </c>
      <c r="G119" s="30">
        <v>11229</v>
      </c>
      <c r="H119">
        <v>539</v>
      </c>
      <c r="J119" s="30">
        <v>1232</v>
      </c>
      <c r="K119">
        <v>9</v>
      </c>
      <c r="N119" s="30">
        <v>9620248</v>
      </c>
    </row>
    <row r="120" spans="1:14" x14ac:dyDescent="0.25">
      <c r="A120">
        <v>114</v>
      </c>
      <c r="B120" t="s">
        <v>188</v>
      </c>
      <c r="C120" s="30">
        <v>11014</v>
      </c>
      <c r="E120">
        <v>70</v>
      </c>
      <c r="G120" s="30">
        <v>9995</v>
      </c>
      <c r="H120">
        <v>949</v>
      </c>
      <c r="J120" s="30">
        <v>36512</v>
      </c>
      <c r="K120">
        <v>232</v>
      </c>
      <c r="L120" s="30">
        <v>80709</v>
      </c>
      <c r="M120" s="30">
        <v>267554</v>
      </c>
      <c r="N120" s="30">
        <v>301655</v>
      </c>
    </row>
    <row r="121" spans="1:14" x14ac:dyDescent="0.25">
      <c r="A121">
        <v>115</v>
      </c>
      <c r="B121" t="s">
        <v>155</v>
      </c>
      <c r="C121" s="30">
        <v>10240</v>
      </c>
      <c r="E121">
        <v>237</v>
      </c>
      <c r="G121" s="30">
        <v>5481</v>
      </c>
      <c r="H121" s="30">
        <v>4522</v>
      </c>
      <c r="I121">
        <v>12</v>
      </c>
      <c r="J121" s="30">
        <v>3452</v>
      </c>
      <c r="K121">
        <v>80</v>
      </c>
      <c r="L121" s="30">
        <v>108576</v>
      </c>
      <c r="M121" s="30">
        <v>36604</v>
      </c>
      <c r="N121" s="30">
        <v>2966248</v>
      </c>
    </row>
    <row r="122" spans="1:14" x14ac:dyDescent="0.25">
      <c r="A122">
        <v>116</v>
      </c>
      <c r="B122" t="s">
        <v>170</v>
      </c>
      <c r="C122" s="30">
        <v>10234</v>
      </c>
      <c r="E122">
        <v>104</v>
      </c>
      <c r="G122" s="30">
        <v>9649</v>
      </c>
      <c r="H122">
        <v>481</v>
      </c>
      <c r="I122">
        <v>23</v>
      </c>
      <c r="J122" s="30">
        <v>18329</v>
      </c>
      <c r="K122">
        <v>186</v>
      </c>
      <c r="L122" s="30">
        <v>102839</v>
      </c>
      <c r="M122" s="30">
        <v>184185</v>
      </c>
      <c r="N122" s="30">
        <v>558345</v>
      </c>
    </row>
    <row r="123" spans="1:14" x14ac:dyDescent="0.25">
      <c r="A123">
        <v>117</v>
      </c>
      <c r="B123" t="s">
        <v>195</v>
      </c>
      <c r="C123" s="30">
        <v>9594</v>
      </c>
      <c r="E123">
        <v>31</v>
      </c>
      <c r="G123" s="30">
        <v>7296</v>
      </c>
      <c r="H123" s="30">
        <v>2267</v>
      </c>
      <c r="I123">
        <v>1</v>
      </c>
      <c r="J123" s="30">
        <v>4048</v>
      </c>
      <c r="K123">
        <v>13</v>
      </c>
      <c r="L123" s="30">
        <v>377957</v>
      </c>
      <c r="M123" s="30">
        <v>159477</v>
      </c>
      <c r="N123" s="30">
        <v>2369982</v>
      </c>
    </row>
    <row r="124" spans="1:14" x14ac:dyDescent="0.25">
      <c r="A124">
        <v>118</v>
      </c>
      <c r="B124" t="s">
        <v>93</v>
      </c>
      <c r="C124" s="30">
        <v>9375</v>
      </c>
      <c r="E124">
        <v>87</v>
      </c>
      <c r="G124" s="30">
        <v>5661</v>
      </c>
      <c r="H124" s="30">
        <v>3627</v>
      </c>
      <c r="I124">
        <v>15</v>
      </c>
      <c r="J124" s="30">
        <v>7065</v>
      </c>
      <c r="K124">
        <v>66</v>
      </c>
      <c r="L124" s="30">
        <v>434644</v>
      </c>
      <c r="M124" s="30">
        <v>327567</v>
      </c>
      <c r="N124" s="30">
        <v>1326887</v>
      </c>
    </row>
    <row r="125" spans="1:14" x14ac:dyDescent="0.25">
      <c r="A125">
        <v>119</v>
      </c>
      <c r="B125" t="s">
        <v>116</v>
      </c>
      <c r="C125" s="30">
        <v>9214</v>
      </c>
      <c r="E125">
        <v>232</v>
      </c>
      <c r="G125" s="30">
        <v>7854</v>
      </c>
      <c r="H125" s="30">
        <v>1128</v>
      </c>
      <c r="J125">
        <v>804</v>
      </c>
      <c r="K125">
        <v>20</v>
      </c>
      <c r="L125" s="30">
        <v>34734</v>
      </c>
      <c r="M125" s="30">
        <v>3032</v>
      </c>
      <c r="N125" s="30">
        <v>11456733</v>
      </c>
    </row>
    <row r="126" spans="1:14" x14ac:dyDescent="0.25">
      <c r="A126">
        <v>120</v>
      </c>
      <c r="B126" t="s">
        <v>175</v>
      </c>
      <c r="C126" s="30">
        <v>9172</v>
      </c>
      <c r="E126">
        <v>265</v>
      </c>
      <c r="G126" s="30">
        <v>8235</v>
      </c>
      <c r="H126">
        <v>672</v>
      </c>
      <c r="J126">
        <v>614</v>
      </c>
      <c r="K126">
        <v>18</v>
      </c>
      <c r="L126" s="30">
        <v>172587</v>
      </c>
      <c r="M126" s="30">
        <v>11547</v>
      </c>
      <c r="N126" s="30">
        <v>14947083</v>
      </c>
    </row>
    <row r="127" spans="1:14" x14ac:dyDescent="0.25">
      <c r="A127">
        <v>121</v>
      </c>
      <c r="B127" t="s">
        <v>137</v>
      </c>
      <c r="C127" s="30">
        <v>9131</v>
      </c>
      <c r="E127">
        <v>59</v>
      </c>
      <c r="G127" s="30">
        <v>8976</v>
      </c>
      <c r="H127">
        <v>96</v>
      </c>
      <c r="I127">
        <v>3</v>
      </c>
      <c r="J127" s="30">
        <v>4066</v>
      </c>
      <c r="K127">
        <v>26</v>
      </c>
      <c r="L127" s="30">
        <v>280595</v>
      </c>
      <c r="M127" s="30">
        <v>124933</v>
      </c>
      <c r="N127" s="30">
        <v>2245959</v>
      </c>
    </row>
    <row r="128" spans="1:14" x14ac:dyDescent="0.25">
      <c r="A128">
        <v>122</v>
      </c>
      <c r="B128" t="s">
        <v>165</v>
      </c>
      <c r="C128" s="30">
        <v>8822</v>
      </c>
      <c r="E128">
        <v>111</v>
      </c>
      <c r="G128" s="30">
        <v>6565</v>
      </c>
      <c r="H128" s="30">
        <v>2146</v>
      </c>
      <c r="I128">
        <v>13</v>
      </c>
      <c r="J128" s="30">
        <v>19959</v>
      </c>
      <c r="K128">
        <v>251</v>
      </c>
      <c r="L128" s="30">
        <v>401904</v>
      </c>
      <c r="M128" s="30">
        <v>909273</v>
      </c>
      <c r="N128" s="30">
        <v>442006</v>
      </c>
    </row>
    <row r="129" spans="1:14" x14ac:dyDescent="0.25">
      <c r="A129">
        <v>123</v>
      </c>
      <c r="B129" t="s">
        <v>130</v>
      </c>
      <c r="C129" s="30">
        <v>8456</v>
      </c>
      <c r="E129">
        <v>43</v>
      </c>
      <c r="G129" s="30">
        <v>2055</v>
      </c>
      <c r="H129" s="30">
        <v>6358</v>
      </c>
      <c r="I129">
        <v>15</v>
      </c>
      <c r="J129" s="30">
        <v>6984</v>
      </c>
      <c r="K129">
        <v>36</v>
      </c>
      <c r="L129" s="30">
        <v>574392</v>
      </c>
      <c r="M129" s="30">
        <v>474389</v>
      </c>
      <c r="N129" s="30">
        <v>1210804</v>
      </c>
    </row>
    <row r="130" spans="1:14" x14ac:dyDescent="0.25">
      <c r="A130">
        <v>124</v>
      </c>
      <c r="B130" t="s">
        <v>139</v>
      </c>
      <c r="C130" s="30">
        <v>8225</v>
      </c>
      <c r="E130">
        <v>144</v>
      </c>
      <c r="G130" s="30">
        <v>2242</v>
      </c>
      <c r="H130" s="30">
        <v>5839</v>
      </c>
      <c r="I130">
        <v>10</v>
      </c>
      <c r="J130" s="30">
        <v>20555</v>
      </c>
      <c r="K130">
        <v>360</v>
      </c>
      <c r="L130" s="30">
        <v>74138</v>
      </c>
      <c r="M130" s="30">
        <v>185275</v>
      </c>
      <c r="N130" s="30">
        <v>400151</v>
      </c>
    </row>
    <row r="131" spans="1:14" x14ac:dyDescent="0.25">
      <c r="A131">
        <v>125</v>
      </c>
      <c r="B131" t="s">
        <v>142</v>
      </c>
      <c r="C131" s="30">
        <v>8096</v>
      </c>
      <c r="E131">
        <v>169</v>
      </c>
      <c r="G131" s="30">
        <v>7573</v>
      </c>
      <c r="H131">
        <v>354</v>
      </c>
      <c r="I131">
        <v>4</v>
      </c>
      <c r="J131" s="30">
        <v>1724</v>
      </c>
      <c r="K131">
        <v>36</v>
      </c>
      <c r="L131" s="30">
        <v>98641</v>
      </c>
      <c r="M131" s="30">
        <v>21003</v>
      </c>
      <c r="N131" s="30">
        <v>4696580</v>
      </c>
    </row>
    <row r="132" spans="1:14" x14ac:dyDescent="0.25">
      <c r="A132">
        <v>126</v>
      </c>
      <c r="B132" t="s">
        <v>89</v>
      </c>
      <c r="C132" s="30">
        <v>7798</v>
      </c>
      <c r="E132">
        <v>132</v>
      </c>
      <c r="G132" s="30">
        <v>7307</v>
      </c>
      <c r="H132">
        <v>359</v>
      </c>
      <c r="J132">
        <v>689</v>
      </c>
      <c r="K132">
        <v>12</v>
      </c>
      <c r="L132" s="30">
        <v>1022379</v>
      </c>
      <c r="M132" s="30">
        <v>90285</v>
      </c>
      <c r="N132" s="30">
        <v>11323885</v>
      </c>
    </row>
    <row r="133" spans="1:14" x14ac:dyDescent="0.25">
      <c r="A133">
        <v>127</v>
      </c>
      <c r="B133" t="s">
        <v>2124</v>
      </c>
      <c r="C133" s="30">
        <v>7501</v>
      </c>
      <c r="E133">
        <v>35</v>
      </c>
      <c r="G133" s="30">
        <v>6660</v>
      </c>
      <c r="H133">
        <v>806</v>
      </c>
      <c r="I133">
        <v>17</v>
      </c>
      <c r="J133" s="30">
        <v>8355</v>
      </c>
      <c r="K133">
        <v>39</v>
      </c>
      <c r="L133" s="30">
        <v>48859</v>
      </c>
      <c r="M133" s="30">
        <v>54420</v>
      </c>
      <c r="N133" s="30">
        <v>897817</v>
      </c>
    </row>
    <row r="134" spans="1:14" x14ac:dyDescent="0.25">
      <c r="A134">
        <v>128</v>
      </c>
      <c r="B134" t="s">
        <v>149</v>
      </c>
      <c r="C134" s="30">
        <v>7395</v>
      </c>
      <c r="E134">
        <v>163</v>
      </c>
      <c r="G134" s="30">
        <v>5628</v>
      </c>
      <c r="H134" s="30">
        <v>1604</v>
      </c>
      <c r="I134">
        <v>2</v>
      </c>
      <c r="J134" s="30">
        <v>18735</v>
      </c>
      <c r="K134">
        <v>413</v>
      </c>
      <c r="L134" s="30">
        <v>41588</v>
      </c>
      <c r="M134" s="30">
        <v>105363</v>
      </c>
      <c r="N134" s="30">
        <v>394713</v>
      </c>
    </row>
    <row r="135" spans="1:14" x14ac:dyDescent="0.25">
      <c r="A135">
        <v>129</v>
      </c>
      <c r="B135" t="s">
        <v>171</v>
      </c>
      <c r="C135" s="30">
        <v>7154</v>
      </c>
      <c r="E135">
        <v>372</v>
      </c>
      <c r="G135" s="30">
        <v>3043</v>
      </c>
      <c r="H135" s="30">
        <v>3739</v>
      </c>
      <c r="J135">
        <v>405</v>
      </c>
      <c r="K135">
        <v>21</v>
      </c>
      <c r="N135" s="30">
        <v>17664247</v>
      </c>
    </row>
    <row r="136" spans="1:14" x14ac:dyDescent="0.25">
      <c r="A136">
        <v>130</v>
      </c>
      <c r="B136" t="s">
        <v>159</v>
      </c>
      <c r="C136" s="30">
        <v>6324</v>
      </c>
      <c r="E136">
        <v>115</v>
      </c>
      <c r="G136" s="30">
        <v>5559</v>
      </c>
      <c r="H136">
        <v>650</v>
      </c>
      <c r="I136">
        <v>3</v>
      </c>
      <c r="J136" s="30">
        <v>4513</v>
      </c>
      <c r="K136">
        <v>82</v>
      </c>
      <c r="L136" s="30">
        <v>35954</v>
      </c>
      <c r="M136" s="30">
        <v>25658</v>
      </c>
      <c r="N136" s="30">
        <v>1401271</v>
      </c>
    </row>
    <row r="137" spans="1:14" x14ac:dyDescent="0.25">
      <c r="A137">
        <v>131</v>
      </c>
      <c r="B137" t="s">
        <v>102</v>
      </c>
      <c r="C137" s="30">
        <v>6207</v>
      </c>
      <c r="E137">
        <v>76</v>
      </c>
      <c r="G137" s="30">
        <v>5290</v>
      </c>
      <c r="H137">
        <v>841</v>
      </c>
      <c r="I137">
        <v>20</v>
      </c>
      <c r="J137" s="30">
        <v>80283</v>
      </c>
      <c r="K137">
        <v>983</v>
      </c>
      <c r="L137" s="30">
        <v>161318</v>
      </c>
      <c r="M137" s="30">
        <v>2086530</v>
      </c>
      <c r="N137" s="30">
        <v>77314</v>
      </c>
    </row>
    <row r="138" spans="1:14" x14ac:dyDescent="0.25">
      <c r="A138">
        <v>132</v>
      </c>
      <c r="B138" t="s">
        <v>183</v>
      </c>
      <c r="C138" s="30">
        <v>6205</v>
      </c>
      <c r="E138">
        <v>119</v>
      </c>
      <c r="G138" s="30">
        <v>5850</v>
      </c>
      <c r="H138">
        <v>236</v>
      </c>
      <c r="I138">
        <v>11</v>
      </c>
      <c r="J138" s="30">
        <v>5327</v>
      </c>
      <c r="K138">
        <v>102</v>
      </c>
      <c r="L138" s="30">
        <v>55581</v>
      </c>
      <c r="M138" s="30">
        <v>47715</v>
      </c>
      <c r="N138" s="30">
        <v>1164857</v>
      </c>
    </row>
    <row r="139" spans="1:14" x14ac:dyDescent="0.25">
      <c r="A139">
        <v>133</v>
      </c>
      <c r="B139" t="s">
        <v>172</v>
      </c>
      <c r="C139" s="30">
        <v>6003</v>
      </c>
      <c r="E139">
        <v>185</v>
      </c>
      <c r="G139" s="30">
        <v>5441</v>
      </c>
      <c r="H139">
        <v>377</v>
      </c>
      <c r="I139">
        <v>4</v>
      </c>
      <c r="J139">
        <v>311</v>
      </c>
      <c r="K139">
        <v>10</v>
      </c>
      <c r="L139" s="30">
        <v>70613</v>
      </c>
      <c r="M139" s="30">
        <v>3655</v>
      </c>
      <c r="N139" s="30">
        <v>19319831</v>
      </c>
    </row>
    <row r="140" spans="1:14" x14ac:dyDescent="0.25">
      <c r="A140">
        <v>134</v>
      </c>
      <c r="B140" t="s">
        <v>113</v>
      </c>
      <c r="C140" s="30">
        <v>5725</v>
      </c>
      <c r="E140">
        <v>159</v>
      </c>
      <c r="G140" s="30">
        <v>4225</v>
      </c>
      <c r="H140" s="30">
        <v>1341</v>
      </c>
      <c r="J140">
        <v>860</v>
      </c>
      <c r="K140">
        <v>24</v>
      </c>
      <c r="N140" s="30">
        <v>6655298</v>
      </c>
    </row>
    <row r="141" spans="1:14" x14ac:dyDescent="0.25">
      <c r="A141">
        <v>135</v>
      </c>
      <c r="B141" t="s">
        <v>136</v>
      </c>
      <c r="C141" s="30">
        <v>5661</v>
      </c>
      <c r="E141">
        <v>61</v>
      </c>
      <c r="G141" s="30">
        <v>5552</v>
      </c>
      <c r="H141">
        <v>48</v>
      </c>
      <c r="J141" s="30">
        <v>5698</v>
      </c>
      <c r="K141">
        <v>61</v>
      </c>
      <c r="L141" s="30">
        <v>90600</v>
      </c>
      <c r="M141" s="30">
        <v>91185</v>
      </c>
      <c r="N141" s="30">
        <v>993589</v>
      </c>
    </row>
    <row r="142" spans="1:14" x14ac:dyDescent="0.25">
      <c r="A142">
        <v>136</v>
      </c>
      <c r="B142" t="s">
        <v>132</v>
      </c>
      <c r="C142" s="30">
        <v>5632</v>
      </c>
      <c r="E142">
        <v>93</v>
      </c>
      <c r="G142" s="30">
        <v>3887</v>
      </c>
      <c r="H142" s="30">
        <v>1652</v>
      </c>
      <c r="J142" s="30">
        <v>1011</v>
      </c>
      <c r="K142">
        <v>17</v>
      </c>
      <c r="N142" s="30">
        <v>5570332</v>
      </c>
    </row>
    <row r="143" spans="1:14" x14ac:dyDescent="0.25">
      <c r="A143">
        <v>137</v>
      </c>
      <c r="B143" t="s">
        <v>203</v>
      </c>
      <c r="C143" s="30">
        <v>5620</v>
      </c>
      <c r="E143">
        <v>46</v>
      </c>
      <c r="G143" s="30">
        <v>5163</v>
      </c>
      <c r="H143">
        <v>411</v>
      </c>
      <c r="J143">
        <v>430</v>
      </c>
      <c r="K143">
        <v>4</v>
      </c>
      <c r="L143" s="30">
        <v>604742</v>
      </c>
      <c r="M143" s="30">
        <v>46249</v>
      </c>
      <c r="N143" s="30">
        <v>13075695</v>
      </c>
    </row>
    <row r="144" spans="1:14" x14ac:dyDescent="0.25">
      <c r="A144">
        <v>138</v>
      </c>
      <c r="B144" t="s">
        <v>168</v>
      </c>
      <c r="C144" s="30">
        <v>5561</v>
      </c>
      <c r="E144">
        <v>108</v>
      </c>
      <c r="G144" s="30">
        <v>5248</v>
      </c>
      <c r="H144">
        <v>205</v>
      </c>
      <c r="I144">
        <v>8</v>
      </c>
      <c r="J144">
        <v>739</v>
      </c>
      <c r="K144">
        <v>14</v>
      </c>
      <c r="L144" s="30">
        <v>3994873</v>
      </c>
      <c r="M144" s="30">
        <v>531177</v>
      </c>
      <c r="N144" s="30">
        <v>7520800</v>
      </c>
    </row>
    <row r="145" spans="1:14" x14ac:dyDescent="0.25">
      <c r="A145">
        <v>139</v>
      </c>
      <c r="B145" t="s">
        <v>200</v>
      </c>
      <c r="C145" s="30">
        <v>5295</v>
      </c>
      <c r="E145">
        <v>116</v>
      </c>
      <c r="G145" s="30">
        <v>5166</v>
      </c>
      <c r="H145">
        <v>13</v>
      </c>
      <c r="I145">
        <v>4</v>
      </c>
      <c r="J145" s="30">
        <v>8995</v>
      </c>
      <c r="K145">
        <v>197</v>
      </c>
      <c r="L145" s="30">
        <v>21129</v>
      </c>
      <c r="M145" s="30">
        <v>35892</v>
      </c>
      <c r="N145" s="30">
        <v>588689</v>
      </c>
    </row>
    <row r="146" spans="1:14" x14ac:dyDescent="0.25">
      <c r="A146">
        <v>140</v>
      </c>
      <c r="B146" t="s">
        <v>150</v>
      </c>
      <c r="C146" s="30">
        <v>5269</v>
      </c>
      <c r="E146">
        <v>26</v>
      </c>
      <c r="G146" s="30">
        <v>5019</v>
      </c>
      <c r="H146">
        <v>224</v>
      </c>
      <c r="I146">
        <v>3</v>
      </c>
      <c r="J146" s="30">
        <v>15401</v>
      </c>
      <c r="K146">
        <v>76</v>
      </c>
      <c r="L146" s="30">
        <v>381486</v>
      </c>
      <c r="M146" s="30">
        <v>1115091</v>
      </c>
      <c r="N146" s="30">
        <v>342112</v>
      </c>
    </row>
    <row r="147" spans="1:14" x14ac:dyDescent="0.25">
      <c r="A147">
        <v>141</v>
      </c>
      <c r="B147" t="s">
        <v>143</v>
      </c>
      <c r="C147" s="30">
        <v>5130</v>
      </c>
      <c r="E147">
        <v>85</v>
      </c>
      <c r="G147" s="30">
        <v>4975</v>
      </c>
      <c r="H147">
        <v>70</v>
      </c>
      <c r="J147" s="30">
        <v>3611</v>
      </c>
      <c r="K147">
        <v>60</v>
      </c>
      <c r="L147" s="30">
        <v>69259</v>
      </c>
      <c r="M147" s="30">
        <v>48755</v>
      </c>
      <c r="N147" s="30">
        <v>1420546</v>
      </c>
    </row>
    <row r="148" spans="1:14" x14ac:dyDescent="0.25">
      <c r="A148">
        <v>142</v>
      </c>
      <c r="B148" t="s">
        <v>184</v>
      </c>
      <c r="C148" s="30">
        <v>5110</v>
      </c>
      <c r="D148">
        <v>54</v>
      </c>
      <c r="E148">
        <v>112</v>
      </c>
      <c r="F148">
        <v>5</v>
      </c>
      <c r="G148" s="30">
        <v>2800</v>
      </c>
      <c r="H148" s="30">
        <v>2198</v>
      </c>
      <c r="I148">
        <v>7</v>
      </c>
      <c r="J148" s="30">
        <v>12761</v>
      </c>
      <c r="K148">
        <v>280</v>
      </c>
      <c r="L148" s="30">
        <v>28321</v>
      </c>
      <c r="M148" s="30">
        <v>70727</v>
      </c>
      <c r="N148" s="30">
        <v>400425</v>
      </c>
    </row>
    <row r="149" spans="1:14" x14ac:dyDescent="0.25">
      <c r="A149">
        <v>143</v>
      </c>
      <c r="B149" t="s">
        <v>148</v>
      </c>
      <c r="C149" s="30">
        <v>5093</v>
      </c>
      <c r="E149">
        <v>143</v>
      </c>
      <c r="G149" s="30">
        <v>4018</v>
      </c>
      <c r="H149">
        <v>932</v>
      </c>
      <c r="I149">
        <v>5</v>
      </c>
      <c r="J149" s="30">
        <v>6463</v>
      </c>
      <c r="K149">
        <v>181</v>
      </c>
      <c r="L149" s="30">
        <v>27236</v>
      </c>
      <c r="M149" s="30">
        <v>34562</v>
      </c>
      <c r="N149" s="30">
        <v>788043</v>
      </c>
    </row>
    <row r="150" spans="1:14" x14ac:dyDescent="0.25">
      <c r="A150">
        <v>144</v>
      </c>
      <c r="B150" t="s">
        <v>129</v>
      </c>
      <c r="C150" s="30">
        <v>5036</v>
      </c>
      <c r="E150">
        <v>48</v>
      </c>
      <c r="G150" s="30">
        <v>2964</v>
      </c>
      <c r="H150" s="30">
        <v>2024</v>
      </c>
      <c r="I150">
        <v>5</v>
      </c>
      <c r="J150" s="30">
        <v>18290</v>
      </c>
      <c r="K150">
        <v>174</v>
      </c>
      <c r="L150" s="30">
        <v>21538</v>
      </c>
      <c r="M150" s="30">
        <v>78221</v>
      </c>
      <c r="N150" s="30">
        <v>275348</v>
      </c>
    </row>
    <row r="151" spans="1:14" x14ac:dyDescent="0.25">
      <c r="A151">
        <v>145</v>
      </c>
      <c r="B151" t="s">
        <v>186</v>
      </c>
      <c r="C151" s="30">
        <v>4911</v>
      </c>
      <c r="E151">
        <v>63</v>
      </c>
      <c r="G151" s="30">
        <v>1924</v>
      </c>
      <c r="H151" s="30">
        <v>2924</v>
      </c>
      <c r="I151">
        <v>2</v>
      </c>
      <c r="J151" s="30">
        <v>1010</v>
      </c>
      <c r="K151">
        <v>13</v>
      </c>
      <c r="L151" s="30">
        <v>32711</v>
      </c>
      <c r="M151" s="30">
        <v>6727</v>
      </c>
      <c r="N151" s="30">
        <v>4862330</v>
      </c>
    </row>
    <row r="152" spans="1:14" x14ac:dyDescent="0.25">
      <c r="A152">
        <v>146</v>
      </c>
      <c r="B152" t="s">
        <v>138</v>
      </c>
      <c r="C152" s="30">
        <v>4732</v>
      </c>
      <c r="E152">
        <v>37</v>
      </c>
      <c r="G152">
        <v>98</v>
      </c>
      <c r="H152" s="30">
        <v>4597</v>
      </c>
      <c r="I152">
        <v>16</v>
      </c>
      <c r="J152" s="30">
        <v>12614</v>
      </c>
      <c r="K152">
        <v>99</v>
      </c>
      <c r="L152" s="30">
        <v>60432</v>
      </c>
      <c r="M152" s="30">
        <v>161088</v>
      </c>
      <c r="N152" s="30">
        <v>375150</v>
      </c>
    </row>
    <row r="153" spans="1:14" x14ac:dyDescent="0.25">
      <c r="A153">
        <v>147</v>
      </c>
      <c r="B153" t="s">
        <v>178</v>
      </c>
      <c r="C153" s="30">
        <v>4724</v>
      </c>
      <c r="E153">
        <v>45</v>
      </c>
      <c r="G153" s="30">
        <v>4588</v>
      </c>
      <c r="H153">
        <v>91</v>
      </c>
      <c r="I153">
        <v>4</v>
      </c>
      <c r="J153" s="30">
        <v>44173</v>
      </c>
      <c r="K153">
        <v>421</v>
      </c>
      <c r="L153" s="30">
        <v>46072</v>
      </c>
      <c r="M153" s="30">
        <v>430805</v>
      </c>
      <c r="N153" s="30">
        <v>106944</v>
      </c>
    </row>
    <row r="154" spans="1:14" x14ac:dyDescent="0.25">
      <c r="A154">
        <v>148</v>
      </c>
      <c r="B154" t="s">
        <v>125</v>
      </c>
      <c r="C154" s="30">
        <v>4564</v>
      </c>
      <c r="E154">
        <v>69</v>
      </c>
      <c r="G154" s="30">
        <v>3621</v>
      </c>
      <c r="H154">
        <v>874</v>
      </c>
      <c r="I154">
        <v>9</v>
      </c>
      <c r="J154" s="30">
        <v>1312</v>
      </c>
      <c r="K154">
        <v>20</v>
      </c>
      <c r="L154" s="30">
        <v>394631</v>
      </c>
      <c r="M154" s="30">
        <v>113450</v>
      </c>
      <c r="N154" s="30">
        <v>3478467</v>
      </c>
    </row>
    <row r="155" spans="1:14" x14ac:dyDescent="0.25">
      <c r="A155">
        <v>149</v>
      </c>
      <c r="B155" t="s">
        <v>92</v>
      </c>
      <c r="C155" s="30">
        <v>4382</v>
      </c>
      <c r="E155">
        <v>108</v>
      </c>
      <c r="G155" s="30">
        <v>3384</v>
      </c>
      <c r="H155">
        <v>890</v>
      </c>
      <c r="J155">
        <v>273</v>
      </c>
      <c r="K155">
        <v>7</v>
      </c>
      <c r="N155" s="30">
        <v>16063140</v>
      </c>
    </row>
    <row r="156" spans="1:14" x14ac:dyDescent="0.25">
      <c r="A156">
        <v>150</v>
      </c>
      <c r="B156" t="s">
        <v>90</v>
      </c>
      <c r="C156" s="30">
        <v>4206</v>
      </c>
      <c r="E156">
        <v>143</v>
      </c>
      <c r="G156" s="30">
        <v>3012</v>
      </c>
      <c r="H156" s="30">
        <v>1051</v>
      </c>
      <c r="J156">
        <v>205</v>
      </c>
      <c r="K156">
        <v>7</v>
      </c>
      <c r="L156" s="30">
        <v>91737</v>
      </c>
      <c r="M156" s="30">
        <v>4481</v>
      </c>
      <c r="N156" s="30">
        <v>20474119</v>
      </c>
    </row>
    <row r="157" spans="1:14" x14ac:dyDescent="0.25">
      <c r="A157">
        <v>151</v>
      </c>
      <c r="B157" t="s">
        <v>98</v>
      </c>
      <c r="C157" s="30">
        <v>3913</v>
      </c>
      <c r="D157">
        <v>11</v>
      </c>
      <c r="E157">
        <v>60</v>
      </c>
      <c r="G157" s="30">
        <v>3761</v>
      </c>
      <c r="H157">
        <v>92</v>
      </c>
      <c r="I157">
        <v>1</v>
      </c>
      <c r="J157">
        <v>56</v>
      </c>
      <c r="K157">
        <v>0.9</v>
      </c>
      <c r="L157" s="30">
        <v>977854</v>
      </c>
      <c r="M157" s="30">
        <v>13996</v>
      </c>
      <c r="N157" s="30">
        <v>69868955</v>
      </c>
    </row>
    <row r="158" spans="1:14" x14ac:dyDescent="0.25">
      <c r="A158">
        <v>152</v>
      </c>
      <c r="B158" t="s">
        <v>196</v>
      </c>
      <c r="C158" s="30">
        <v>3726</v>
      </c>
      <c r="E158">
        <v>123</v>
      </c>
      <c r="G158" s="30">
        <v>3582</v>
      </c>
      <c r="H158">
        <v>21</v>
      </c>
      <c r="J158" s="30">
        <v>1525</v>
      </c>
      <c r="K158">
        <v>50</v>
      </c>
      <c r="L158" s="30">
        <v>23883</v>
      </c>
      <c r="M158" s="30">
        <v>9777</v>
      </c>
      <c r="N158" s="30">
        <v>2442680</v>
      </c>
    </row>
    <row r="159" spans="1:14" x14ac:dyDescent="0.25">
      <c r="A159">
        <v>153</v>
      </c>
      <c r="B159" t="s">
        <v>158</v>
      </c>
      <c r="C159" s="30">
        <v>3047</v>
      </c>
      <c r="E159">
        <v>60</v>
      </c>
      <c r="G159" s="30">
        <v>1290</v>
      </c>
      <c r="H159" s="30">
        <v>1697</v>
      </c>
      <c r="J159">
        <v>271</v>
      </c>
      <c r="K159">
        <v>5</v>
      </c>
      <c r="L159" s="30">
        <v>12044</v>
      </c>
      <c r="M159" s="30">
        <v>1071</v>
      </c>
      <c r="N159" s="30">
        <v>11244927</v>
      </c>
    </row>
    <row r="160" spans="1:14" x14ac:dyDescent="0.25">
      <c r="A160">
        <v>154</v>
      </c>
      <c r="B160" t="s">
        <v>177</v>
      </c>
      <c r="C160" s="30">
        <v>2916</v>
      </c>
      <c r="E160">
        <v>43</v>
      </c>
      <c r="G160" s="30">
        <v>2579</v>
      </c>
      <c r="H160">
        <v>294</v>
      </c>
      <c r="J160">
        <v>238</v>
      </c>
      <c r="K160">
        <v>4</v>
      </c>
      <c r="L160" s="30">
        <v>294009</v>
      </c>
      <c r="M160" s="30">
        <v>24010</v>
      </c>
      <c r="N160" s="30">
        <v>12245123</v>
      </c>
    </row>
    <row r="161" spans="1:14" x14ac:dyDescent="0.25">
      <c r="A161">
        <v>155</v>
      </c>
      <c r="B161" t="s">
        <v>141</v>
      </c>
      <c r="C161" s="30">
        <v>2829</v>
      </c>
      <c r="E161">
        <v>64</v>
      </c>
      <c r="G161" s="30">
        <v>2209</v>
      </c>
      <c r="H161">
        <v>556</v>
      </c>
      <c r="J161">
        <v>339</v>
      </c>
      <c r="K161">
        <v>8</v>
      </c>
      <c r="L161" s="30">
        <v>141255</v>
      </c>
      <c r="M161" s="30">
        <v>16910</v>
      </c>
      <c r="N161" s="30">
        <v>8353458</v>
      </c>
    </row>
    <row r="162" spans="1:14" x14ac:dyDescent="0.25">
      <c r="A162">
        <v>156</v>
      </c>
      <c r="B162" t="s">
        <v>101</v>
      </c>
      <c r="C162" s="30">
        <v>2703</v>
      </c>
      <c r="E162">
        <v>68</v>
      </c>
      <c r="G162" s="30">
        <v>2521</v>
      </c>
      <c r="H162">
        <v>114</v>
      </c>
      <c r="J162">
        <v>128</v>
      </c>
      <c r="K162">
        <v>3</v>
      </c>
      <c r="N162" s="30">
        <v>21123045</v>
      </c>
    </row>
    <row r="163" spans="1:14" x14ac:dyDescent="0.25">
      <c r="A163">
        <v>157</v>
      </c>
      <c r="B163" t="s">
        <v>160</v>
      </c>
      <c r="C163" s="30">
        <v>2421</v>
      </c>
      <c r="E163">
        <v>43</v>
      </c>
      <c r="G163" s="30">
        <v>2286</v>
      </c>
      <c r="H163">
        <v>92</v>
      </c>
      <c r="I163">
        <v>5</v>
      </c>
      <c r="J163" s="30">
        <v>1219</v>
      </c>
      <c r="K163">
        <v>22</v>
      </c>
      <c r="L163" s="30">
        <v>29037</v>
      </c>
      <c r="M163" s="30">
        <v>14621</v>
      </c>
      <c r="N163" s="30">
        <v>1985913</v>
      </c>
    </row>
    <row r="164" spans="1:14" x14ac:dyDescent="0.25">
      <c r="A164">
        <v>158</v>
      </c>
      <c r="B164" t="s">
        <v>107</v>
      </c>
      <c r="C164" s="30">
        <v>2405</v>
      </c>
      <c r="E164">
        <v>74</v>
      </c>
      <c r="G164" s="30">
        <v>1827</v>
      </c>
      <c r="H164">
        <v>504</v>
      </c>
      <c r="J164">
        <v>299</v>
      </c>
      <c r="K164">
        <v>9</v>
      </c>
      <c r="N164" s="30">
        <v>8039683</v>
      </c>
    </row>
    <row r="165" spans="1:14" x14ac:dyDescent="0.25">
      <c r="A165">
        <v>159</v>
      </c>
      <c r="B165" t="s">
        <v>103</v>
      </c>
      <c r="C165" s="30">
        <v>2093</v>
      </c>
      <c r="E165">
        <v>608</v>
      </c>
      <c r="G165" s="30">
        <v>1441</v>
      </c>
      <c r="H165">
        <v>44</v>
      </c>
      <c r="I165">
        <v>8</v>
      </c>
      <c r="J165">
        <v>70</v>
      </c>
      <c r="K165">
        <v>20</v>
      </c>
      <c r="L165" s="30">
        <v>16769</v>
      </c>
      <c r="M165">
        <v>557</v>
      </c>
      <c r="N165" s="30">
        <v>30079384</v>
      </c>
    </row>
    <row r="166" spans="1:14" x14ac:dyDescent="0.25">
      <c r="A166">
        <v>160</v>
      </c>
      <c r="B166" t="s">
        <v>232</v>
      </c>
      <c r="C166" s="30">
        <v>2085</v>
      </c>
      <c r="E166">
        <v>44</v>
      </c>
      <c r="G166" s="30">
        <v>1276</v>
      </c>
      <c r="H166">
        <v>765</v>
      </c>
      <c r="J166">
        <v>970</v>
      </c>
      <c r="K166">
        <v>20</v>
      </c>
      <c r="L166" s="30">
        <v>25314</v>
      </c>
      <c r="M166" s="30">
        <v>11780</v>
      </c>
      <c r="N166" s="30">
        <v>2148901</v>
      </c>
    </row>
    <row r="167" spans="1:14" x14ac:dyDescent="0.25">
      <c r="A167">
        <v>161</v>
      </c>
      <c r="B167" t="s">
        <v>126</v>
      </c>
      <c r="C167" s="30">
        <v>2028</v>
      </c>
      <c r="D167">
        <v>9</v>
      </c>
      <c r="E167">
        <v>25</v>
      </c>
      <c r="G167" s="30">
        <v>1953</v>
      </c>
      <c r="H167">
        <v>50</v>
      </c>
      <c r="J167">
        <v>405</v>
      </c>
      <c r="K167">
        <v>5</v>
      </c>
      <c r="L167" s="30">
        <v>1230901</v>
      </c>
      <c r="M167" s="30">
        <v>246077</v>
      </c>
      <c r="N167" s="30">
        <v>5002100</v>
      </c>
    </row>
    <row r="168" spans="1:14" x14ac:dyDescent="0.25">
      <c r="A168">
        <v>162</v>
      </c>
      <c r="B168" t="s">
        <v>2125</v>
      </c>
      <c r="C168" s="30">
        <v>1682</v>
      </c>
      <c r="E168">
        <v>3</v>
      </c>
      <c r="G168">
        <v>988</v>
      </c>
      <c r="H168">
        <v>691</v>
      </c>
      <c r="I168">
        <v>7</v>
      </c>
      <c r="J168" s="30">
        <v>10234</v>
      </c>
      <c r="K168">
        <v>18</v>
      </c>
      <c r="L168" s="30">
        <v>18251</v>
      </c>
      <c r="M168" s="30">
        <v>111045</v>
      </c>
      <c r="N168" s="30">
        <v>164357</v>
      </c>
    </row>
    <row r="169" spans="1:14" x14ac:dyDescent="0.25">
      <c r="A169">
        <v>163</v>
      </c>
      <c r="B169" t="s">
        <v>96</v>
      </c>
      <c r="C169" s="30">
        <v>1633</v>
      </c>
      <c r="E169">
        <v>101</v>
      </c>
      <c r="G169" s="30">
        <v>1469</v>
      </c>
      <c r="H169">
        <v>63</v>
      </c>
      <c r="J169">
        <v>98</v>
      </c>
      <c r="K169">
        <v>6</v>
      </c>
      <c r="N169" s="30">
        <v>16606319</v>
      </c>
    </row>
    <row r="170" spans="1:14" x14ac:dyDescent="0.25">
      <c r="A170">
        <v>164</v>
      </c>
      <c r="B170" t="s">
        <v>121</v>
      </c>
      <c r="C170" s="30">
        <v>1551</v>
      </c>
      <c r="E170">
        <v>82</v>
      </c>
      <c r="G170" s="30">
        <v>1331</v>
      </c>
      <c r="H170">
        <v>138</v>
      </c>
      <c r="I170">
        <v>2</v>
      </c>
      <c r="J170">
        <v>304</v>
      </c>
      <c r="K170">
        <v>16</v>
      </c>
      <c r="L170" s="30">
        <v>33078</v>
      </c>
      <c r="M170" s="30">
        <v>6481</v>
      </c>
      <c r="N170" s="30">
        <v>5103464</v>
      </c>
    </row>
    <row r="171" spans="1:14" x14ac:dyDescent="0.25">
      <c r="A171">
        <v>165</v>
      </c>
      <c r="B171" t="s">
        <v>108</v>
      </c>
      <c r="C171" s="30">
        <v>1395</v>
      </c>
      <c r="E171">
        <v>43</v>
      </c>
      <c r="G171" s="30">
        <v>1082</v>
      </c>
      <c r="H171">
        <v>270</v>
      </c>
      <c r="I171">
        <v>6</v>
      </c>
      <c r="J171" s="30">
        <v>41079</v>
      </c>
      <c r="K171" s="30">
        <v>1266</v>
      </c>
      <c r="L171" s="30">
        <v>14875</v>
      </c>
      <c r="M171" s="30">
        <v>438028</v>
      </c>
      <c r="N171" s="30">
        <v>33959</v>
      </c>
    </row>
    <row r="172" spans="1:14" x14ac:dyDescent="0.25">
      <c r="A172">
        <v>166</v>
      </c>
      <c r="B172" t="s">
        <v>95</v>
      </c>
      <c r="C172" s="30">
        <v>1351</v>
      </c>
      <c r="E172">
        <v>70</v>
      </c>
      <c r="G172" s="30">
        <v>1158</v>
      </c>
      <c r="H172">
        <v>123</v>
      </c>
      <c r="I172">
        <v>9</v>
      </c>
      <c r="J172">
        <v>55</v>
      </c>
      <c r="K172">
        <v>3</v>
      </c>
      <c r="L172" s="30">
        <v>43087</v>
      </c>
      <c r="M172" s="30">
        <v>1756</v>
      </c>
      <c r="N172" s="30">
        <v>24539167</v>
      </c>
    </row>
    <row r="173" spans="1:14" x14ac:dyDescent="0.25">
      <c r="A173">
        <v>167</v>
      </c>
      <c r="B173" t="s">
        <v>204</v>
      </c>
      <c r="C173" s="30">
        <v>1306</v>
      </c>
      <c r="E173">
        <v>35</v>
      </c>
      <c r="G173" s="30">
        <v>1142</v>
      </c>
      <c r="H173">
        <v>129</v>
      </c>
      <c r="J173">
        <v>13</v>
      </c>
      <c r="K173">
        <v>0.4</v>
      </c>
      <c r="L173" s="30">
        <v>1339465</v>
      </c>
      <c r="M173" s="30">
        <v>13713</v>
      </c>
      <c r="N173" s="30">
        <v>97681252</v>
      </c>
    </row>
    <row r="174" spans="1:14" x14ac:dyDescent="0.25">
      <c r="A174">
        <v>168</v>
      </c>
      <c r="B174" t="s">
        <v>193</v>
      </c>
      <c r="C174" s="30">
        <v>1109</v>
      </c>
      <c r="E174">
        <v>8</v>
      </c>
      <c r="G174">
        <v>883</v>
      </c>
      <c r="H174">
        <v>218</v>
      </c>
      <c r="I174">
        <v>11</v>
      </c>
      <c r="J174" s="30">
        <v>29053</v>
      </c>
      <c r="K174">
        <v>210</v>
      </c>
      <c r="L174" s="30">
        <v>9155</v>
      </c>
      <c r="M174" s="30">
        <v>239842</v>
      </c>
      <c r="N174" s="30">
        <v>38171</v>
      </c>
    </row>
    <row r="175" spans="1:14" x14ac:dyDescent="0.25">
      <c r="A175">
        <v>169</v>
      </c>
      <c r="B175" t="s">
        <v>106</v>
      </c>
      <c r="C175" s="30">
        <v>1094</v>
      </c>
      <c r="E175">
        <v>48</v>
      </c>
      <c r="G175">
        <v>887</v>
      </c>
      <c r="H175">
        <v>159</v>
      </c>
      <c r="I175">
        <v>10</v>
      </c>
      <c r="J175" s="30">
        <v>6270</v>
      </c>
      <c r="K175">
        <v>275</v>
      </c>
      <c r="L175" s="30">
        <v>189738</v>
      </c>
      <c r="M175" s="30">
        <v>1087386</v>
      </c>
      <c r="N175" s="30">
        <v>174490</v>
      </c>
    </row>
    <row r="176" spans="1:14" x14ac:dyDescent="0.25">
      <c r="A176">
        <v>170</v>
      </c>
      <c r="B176" t="s">
        <v>133</v>
      </c>
      <c r="C176">
        <v>996</v>
      </c>
      <c r="E176">
        <v>25</v>
      </c>
      <c r="G176">
        <v>890</v>
      </c>
      <c r="H176">
        <v>81</v>
      </c>
      <c r="I176">
        <v>6</v>
      </c>
      <c r="J176" s="30">
        <v>23127</v>
      </c>
      <c r="K176">
        <v>581</v>
      </c>
      <c r="L176" s="30">
        <v>7088</v>
      </c>
      <c r="M176" s="30">
        <v>164585</v>
      </c>
      <c r="N176" s="30">
        <v>43066</v>
      </c>
    </row>
    <row r="177" spans="1:14" x14ac:dyDescent="0.25">
      <c r="A177">
        <v>171</v>
      </c>
      <c r="B177" t="s">
        <v>145</v>
      </c>
      <c r="C177">
        <v>979</v>
      </c>
      <c r="E177">
        <v>17</v>
      </c>
      <c r="G177">
        <v>920</v>
      </c>
      <c r="H177">
        <v>42</v>
      </c>
      <c r="J177" s="30">
        <v>4435</v>
      </c>
      <c r="K177">
        <v>77</v>
      </c>
      <c r="L177" s="30">
        <v>7465</v>
      </c>
      <c r="M177" s="30">
        <v>33819</v>
      </c>
      <c r="N177" s="30">
        <v>220735</v>
      </c>
    </row>
    <row r="178" spans="1:14" x14ac:dyDescent="0.25">
      <c r="A178">
        <v>172</v>
      </c>
      <c r="B178" t="s">
        <v>207</v>
      </c>
      <c r="C178">
        <v>953</v>
      </c>
      <c r="E178">
        <v>3</v>
      </c>
      <c r="G178">
        <v>848</v>
      </c>
      <c r="H178">
        <v>102</v>
      </c>
      <c r="I178">
        <v>4</v>
      </c>
      <c r="J178" s="30">
        <v>28290</v>
      </c>
      <c r="K178">
        <v>89</v>
      </c>
      <c r="L178" s="30">
        <v>83596</v>
      </c>
      <c r="M178" s="30">
        <v>2481551</v>
      </c>
      <c r="N178" s="30">
        <v>33687</v>
      </c>
    </row>
    <row r="179" spans="1:14" x14ac:dyDescent="0.25">
      <c r="A179">
        <v>173</v>
      </c>
      <c r="B179" t="s">
        <v>198</v>
      </c>
      <c r="C179">
        <v>746</v>
      </c>
      <c r="E179">
        <v>6</v>
      </c>
      <c r="G179">
        <v>700</v>
      </c>
      <c r="H179">
        <v>40</v>
      </c>
      <c r="I179">
        <v>1</v>
      </c>
      <c r="J179" s="30">
        <v>19167</v>
      </c>
      <c r="K179">
        <v>154</v>
      </c>
      <c r="L179" s="30">
        <v>6244</v>
      </c>
      <c r="M179" s="30">
        <v>160428</v>
      </c>
      <c r="N179" s="30">
        <v>38921</v>
      </c>
    </row>
    <row r="180" spans="1:14" x14ac:dyDescent="0.25">
      <c r="A180">
        <v>174</v>
      </c>
      <c r="B180" t="s">
        <v>140</v>
      </c>
      <c r="C180">
        <v>712</v>
      </c>
      <c r="E180">
        <v>13</v>
      </c>
      <c r="G180">
        <v>659</v>
      </c>
      <c r="H180">
        <v>40</v>
      </c>
      <c r="I180">
        <v>4</v>
      </c>
    </row>
    <row r="181" spans="1:14" x14ac:dyDescent="0.25">
      <c r="A181">
        <v>175</v>
      </c>
      <c r="B181" t="s">
        <v>180</v>
      </c>
      <c r="C181">
        <v>690</v>
      </c>
      <c r="E181">
        <v>12</v>
      </c>
      <c r="G181">
        <v>598</v>
      </c>
      <c r="H181">
        <v>80</v>
      </c>
      <c r="I181">
        <v>7</v>
      </c>
      <c r="J181" s="30">
        <v>17728</v>
      </c>
      <c r="K181">
        <v>308</v>
      </c>
      <c r="L181" s="30">
        <v>7149</v>
      </c>
      <c r="M181" s="30">
        <v>183675</v>
      </c>
      <c r="N181" s="30">
        <v>38922</v>
      </c>
    </row>
    <row r="182" spans="1:14" x14ac:dyDescent="0.25">
      <c r="A182">
        <v>176</v>
      </c>
      <c r="B182" t="s">
        <v>194</v>
      </c>
      <c r="C182">
        <v>656</v>
      </c>
      <c r="E182">
        <v>1</v>
      </c>
      <c r="G182">
        <v>575</v>
      </c>
      <c r="H182">
        <v>80</v>
      </c>
      <c r="J182">
        <v>55</v>
      </c>
      <c r="K182">
        <v>0.08</v>
      </c>
      <c r="L182" s="30">
        <v>62215</v>
      </c>
      <c r="M182" s="30">
        <v>5173</v>
      </c>
      <c r="N182" s="30">
        <v>12026198</v>
      </c>
    </row>
    <row r="183" spans="1:14" x14ac:dyDescent="0.25">
      <c r="A183">
        <v>177</v>
      </c>
      <c r="B183" t="s">
        <v>162</v>
      </c>
      <c r="C183">
        <v>611</v>
      </c>
      <c r="E183">
        <v>7</v>
      </c>
      <c r="G183">
        <v>546</v>
      </c>
      <c r="H183">
        <v>58</v>
      </c>
      <c r="J183">
        <v>26</v>
      </c>
      <c r="K183">
        <v>0.3</v>
      </c>
      <c r="L183" s="30">
        <v>107410</v>
      </c>
      <c r="M183" s="30">
        <v>4507</v>
      </c>
      <c r="N183" s="30">
        <v>23833763</v>
      </c>
    </row>
    <row r="184" spans="1:14" x14ac:dyDescent="0.25">
      <c r="A184">
        <v>178</v>
      </c>
      <c r="B184" t="s">
        <v>228</v>
      </c>
      <c r="C184">
        <v>604</v>
      </c>
      <c r="E184">
        <v>7</v>
      </c>
      <c r="G184">
        <v>586</v>
      </c>
      <c r="H184">
        <v>11</v>
      </c>
      <c r="J184">
        <v>67</v>
      </c>
      <c r="K184">
        <v>0.8</v>
      </c>
      <c r="L184" s="30">
        <v>30027</v>
      </c>
      <c r="M184" s="30">
        <v>3332</v>
      </c>
      <c r="N184" s="30">
        <v>9012632</v>
      </c>
    </row>
    <row r="185" spans="1:14" x14ac:dyDescent="0.25">
      <c r="A185">
        <v>179</v>
      </c>
      <c r="B185" t="s">
        <v>192</v>
      </c>
      <c r="C185">
        <v>596</v>
      </c>
      <c r="E185">
        <v>7</v>
      </c>
      <c r="G185">
        <v>572</v>
      </c>
      <c r="H185">
        <v>17</v>
      </c>
      <c r="J185">
        <v>680</v>
      </c>
      <c r="K185">
        <v>8</v>
      </c>
      <c r="N185" s="30">
        <v>876753</v>
      </c>
    </row>
    <row r="186" spans="1:14" x14ac:dyDescent="0.25">
      <c r="A186">
        <v>180</v>
      </c>
      <c r="B186" t="s">
        <v>208</v>
      </c>
      <c r="C186">
        <v>582</v>
      </c>
      <c r="G186">
        <v>337</v>
      </c>
      <c r="H186">
        <v>245</v>
      </c>
      <c r="I186">
        <v>2</v>
      </c>
      <c r="J186">
        <v>176</v>
      </c>
      <c r="L186" s="30">
        <v>110309</v>
      </c>
      <c r="M186" s="30">
        <v>33439</v>
      </c>
      <c r="N186" s="30">
        <v>3298791</v>
      </c>
    </row>
    <row r="187" spans="1:14" x14ac:dyDescent="0.25">
      <c r="A187">
        <v>181</v>
      </c>
      <c r="B187" t="s">
        <v>173</v>
      </c>
      <c r="C187">
        <v>581</v>
      </c>
      <c r="E187">
        <v>3</v>
      </c>
      <c r="G187">
        <v>507</v>
      </c>
      <c r="H187">
        <v>71</v>
      </c>
      <c r="I187">
        <v>5</v>
      </c>
      <c r="J187" s="30">
        <v>14765</v>
      </c>
      <c r="K187">
        <v>76</v>
      </c>
      <c r="L187" s="30">
        <v>51953</v>
      </c>
      <c r="M187" s="30">
        <v>1320246</v>
      </c>
      <c r="N187" s="30">
        <v>39351</v>
      </c>
    </row>
    <row r="188" spans="1:14" x14ac:dyDescent="0.25">
      <c r="A188">
        <v>182</v>
      </c>
      <c r="B188" t="s">
        <v>212</v>
      </c>
      <c r="C188">
        <v>551</v>
      </c>
      <c r="G188">
        <v>473</v>
      </c>
      <c r="H188">
        <v>78</v>
      </c>
      <c r="J188">
        <v>155</v>
      </c>
      <c r="L188" s="30">
        <v>21655</v>
      </c>
      <c r="M188" s="30">
        <v>6073</v>
      </c>
      <c r="N188" s="30">
        <v>3565528</v>
      </c>
    </row>
    <row r="189" spans="1:14" x14ac:dyDescent="0.25">
      <c r="A189">
        <v>183</v>
      </c>
      <c r="B189" t="s">
        <v>127</v>
      </c>
      <c r="C189">
        <v>509</v>
      </c>
      <c r="E189">
        <v>21</v>
      </c>
      <c r="G189">
        <v>183</v>
      </c>
      <c r="H189">
        <v>305</v>
      </c>
      <c r="I189">
        <v>7</v>
      </c>
      <c r="J189">
        <v>8</v>
      </c>
      <c r="K189">
        <v>0.3</v>
      </c>
      <c r="N189" s="30">
        <v>60385784</v>
      </c>
    </row>
    <row r="190" spans="1:14" x14ac:dyDescent="0.25">
      <c r="A190">
        <v>184</v>
      </c>
      <c r="B190" t="s">
        <v>206</v>
      </c>
      <c r="C190">
        <v>499</v>
      </c>
      <c r="G190">
        <v>495</v>
      </c>
      <c r="H190">
        <v>4</v>
      </c>
      <c r="J190" s="30">
        <v>10197</v>
      </c>
      <c r="L190" s="30">
        <v>163706</v>
      </c>
      <c r="M190" s="30">
        <v>3345308</v>
      </c>
      <c r="N190" s="30">
        <v>48936</v>
      </c>
    </row>
    <row r="191" spans="1:14" x14ac:dyDescent="0.25">
      <c r="A191">
        <v>185</v>
      </c>
      <c r="B191" t="s">
        <v>153</v>
      </c>
      <c r="C191">
        <v>494</v>
      </c>
      <c r="E191">
        <v>10</v>
      </c>
      <c r="G191">
        <v>433</v>
      </c>
      <c r="H191">
        <v>51</v>
      </c>
      <c r="J191">
        <v>388</v>
      </c>
      <c r="K191">
        <v>8</v>
      </c>
      <c r="L191" s="30">
        <v>289552</v>
      </c>
      <c r="M191" s="30">
        <v>227528</v>
      </c>
      <c r="N191" s="30">
        <v>1272600</v>
      </c>
    </row>
    <row r="192" spans="1:14" x14ac:dyDescent="0.25">
      <c r="A192">
        <v>186</v>
      </c>
      <c r="B192" t="s">
        <v>213</v>
      </c>
      <c r="C192">
        <v>379</v>
      </c>
      <c r="D192">
        <v>1</v>
      </c>
      <c r="G192">
        <v>360</v>
      </c>
      <c r="H192">
        <v>19</v>
      </c>
      <c r="J192">
        <v>489</v>
      </c>
      <c r="L192" s="30">
        <v>195276</v>
      </c>
      <c r="M192" s="30">
        <v>251993</v>
      </c>
      <c r="N192" s="30">
        <v>774925</v>
      </c>
    </row>
    <row r="193" spans="1:14" x14ac:dyDescent="0.25">
      <c r="A193">
        <v>187</v>
      </c>
      <c r="B193" t="s">
        <v>122</v>
      </c>
      <c r="C193">
        <v>368</v>
      </c>
      <c r="E193">
        <v>25</v>
      </c>
      <c r="G193">
        <v>332</v>
      </c>
      <c r="H193">
        <v>11</v>
      </c>
      <c r="I193">
        <v>1</v>
      </c>
      <c r="J193" s="30">
        <v>4319</v>
      </c>
      <c r="K193">
        <v>293</v>
      </c>
      <c r="L193" s="30">
        <v>17703</v>
      </c>
      <c r="M193" s="30">
        <v>207757</v>
      </c>
      <c r="N193" s="30">
        <v>85210</v>
      </c>
    </row>
    <row r="194" spans="1:14" x14ac:dyDescent="0.25">
      <c r="A194">
        <v>188</v>
      </c>
      <c r="B194" t="s">
        <v>209</v>
      </c>
      <c r="C194">
        <v>306</v>
      </c>
      <c r="D194">
        <v>1</v>
      </c>
      <c r="G194">
        <v>295</v>
      </c>
      <c r="H194">
        <v>11</v>
      </c>
      <c r="J194">
        <v>18</v>
      </c>
      <c r="L194" s="30">
        <v>219004</v>
      </c>
      <c r="M194" s="30">
        <v>13029</v>
      </c>
      <c r="N194" s="30">
        <v>16809036</v>
      </c>
    </row>
    <row r="195" spans="1:14" x14ac:dyDescent="0.25">
      <c r="A195">
        <v>189</v>
      </c>
      <c r="B195" t="s">
        <v>191</v>
      </c>
      <c r="C195">
        <v>261</v>
      </c>
      <c r="E195">
        <v>2</v>
      </c>
      <c r="G195">
        <v>245</v>
      </c>
      <c r="H195">
        <v>14</v>
      </c>
      <c r="I195">
        <v>1</v>
      </c>
      <c r="J195" s="30">
        <v>3953</v>
      </c>
      <c r="K195">
        <v>30</v>
      </c>
      <c r="L195" s="30">
        <v>50820</v>
      </c>
      <c r="M195" s="30">
        <v>769732</v>
      </c>
      <c r="N195" s="30">
        <v>66023</v>
      </c>
    </row>
    <row r="196" spans="1:14" x14ac:dyDescent="0.25">
      <c r="A196">
        <v>190</v>
      </c>
      <c r="B196" t="s">
        <v>163</v>
      </c>
      <c r="C196">
        <v>255</v>
      </c>
      <c r="E196">
        <v>7</v>
      </c>
      <c r="G196">
        <v>241</v>
      </c>
      <c r="H196">
        <v>7</v>
      </c>
      <c r="J196">
        <v>887</v>
      </c>
      <c r="K196">
        <v>24</v>
      </c>
      <c r="L196" s="30">
        <v>44146</v>
      </c>
      <c r="M196" s="30">
        <v>153544</v>
      </c>
      <c r="N196" s="30">
        <v>287514</v>
      </c>
    </row>
    <row r="197" spans="1:14" x14ac:dyDescent="0.25">
      <c r="A197">
        <v>191</v>
      </c>
      <c r="B197" t="s">
        <v>157</v>
      </c>
      <c r="C197">
        <v>227</v>
      </c>
      <c r="E197">
        <v>9</v>
      </c>
      <c r="G197">
        <v>200</v>
      </c>
      <c r="H197">
        <v>18</v>
      </c>
      <c r="J197" s="30">
        <v>3650</v>
      </c>
      <c r="K197">
        <v>145</v>
      </c>
      <c r="L197" s="30">
        <v>100048</v>
      </c>
      <c r="M197" s="30">
        <v>1608825</v>
      </c>
      <c r="N197" s="30">
        <v>62187</v>
      </c>
    </row>
    <row r="198" spans="1:14" x14ac:dyDescent="0.25">
      <c r="A198">
        <v>192</v>
      </c>
      <c r="B198" t="s">
        <v>220</v>
      </c>
      <c r="C198">
        <v>204</v>
      </c>
      <c r="E198">
        <v>2</v>
      </c>
      <c r="G198">
        <v>60</v>
      </c>
      <c r="H198">
        <v>142</v>
      </c>
      <c r="J198" s="30">
        <v>1109</v>
      </c>
      <c r="K198">
        <v>11</v>
      </c>
      <c r="L198" s="30">
        <v>14591</v>
      </c>
      <c r="M198" s="30">
        <v>79317</v>
      </c>
      <c r="N198" s="30">
        <v>183957</v>
      </c>
    </row>
    <row r="199" spans="1:14" x14ac:dyDescent="0.25">
      <c r="A199">
        <v>193</v>
      </c>
      <c r="B199" t="s">
        <v>227</v>
      </c>
      <c r="C199">
        <v>163</v>
      </c>
      <c r="G199">
        <v>159</v>
      </c>
      <c r="H199">
        <v>4</v>
      </c>
      <c r="J199" s="30">
        <v>1653</v>
      </c>
      <c r="L199" s="30">
        <v>5200</v>
      </c>
      <c r="M199" s="30">
        <v>52746</v>
      </c>
      <c r="N199" s="30">
        <v>98586</v>
      </c>
    </row>
    <row r="200" spans="1:14" x14ac:dyDescent="0.25">
      <c r="A200">
        <v>194</v>
      </c>
      <c r="B200" t="s">
        <v>229</v>
      </c>
      <c r="C200">
        <v>158</v>
      </c>
      <c r="E200">
        <v>3</v>
      </c>
      <c r="G200">
        <v>152</v>
      </c>
      <c r="H200">
        <v>3</v>
      </c>
      <c r="J200" s="30">
        <v>6003</v>
      </c>
      <c r="K200">
        <v>114</v>
      </c>
      <c r="L200" s="30">
        <v>3539</v>
      </c>
      <c r="M200" s="30">
        <v>134471</v>
      </c>
      <c r="N200" s="30">
        <v>26318</v>
      </c>
    </row>
    <row r="201" spans="1:14" x14ac:dyDescent="0.25">
      <c r="A201">
        <v>195</v>
      </c>
      <c r="B201" t="s">
        <v>2126</v>
      </c>
      <c r="C201">
        <v>148</v>
      </c>
      <c r="E201">
        <v>3</v>
      </c>
      <c r="G201">
        <v>145</v>
      </c>
      <c r="H201">
        <v>0</v>
      </c>
      <c r="J201">
        <v>337</v>
      </c>
      <c r="K201">
        <v>7</v>
      </c>
      <c r="L201" s="30">
        <v>74669</v>
      </c>
      <c r="M201" s="30">
        <v>170044</v>
      </c>
      <c r="N201" s="30">
        <v>439117</v>
      </c>
    </row>
    <row r="202" spans="1:14" x14ac:dyDescent="0.25">
      <c r="A202">
        <v>196</v>
      </c>
      <c r="B202" t="s">
        <v>181</v>
      </c>
      <c r="C202">
        <v>139</v>
      </c>
      <c r="E202">
        <v>4</v>
      </c>
      <c r="G202">
        <v>128</v>
      </c>
      <c r="H202">
        <v>7</v>
      </c>
      <c r="J202" s="30">
        <v>1415</v>
      </c>
      <c r="K202">
        <v>41</v>
      </c>
      <c r="L202" s="30">
        <v>4386</v>
      </c>
      <c r="M202" s="30">
        <v>44643</v>
      </c>
      <c r="N202" s="30">
        <v>98246</v>
      </c>
    </row>
    <row r="203" spans="1:14" x14ac:dyDescent="0.25">
      <c r="A203">
        <v>197</v>
      </c>
      <c r="B203" t="s">
        <v>230</v>
      </c>
      <c r="C203">
        <v>127</v>
      </c>
      <c r="G203">
        <v>94</v>
      </c>
      <c r="H203">
        <v>33</v>
      </c>
      <c r="J203" s="30">
        <v>12843</v>
      </c>
      <c r="L203" s="30">
        <v>4767</v>
      </c>
      <c r="M203" s="30">
        <v>482051</v>
      </c>
      <c r="N203" s="30">
        <v>9889</v>
      </c>
    </row>
    <row r="204" spans="1:14" x14ac:dyDescent="0.25">
      <c r="A204">
        <v>198</v>
      </c>
      <c r="B204" t="s">
        <v>221</v>
      </c>
      <c r="C204">
        <v>84</v>
      </c>
      <c r="G204">
        <v>78</v>
      </c>
      <c r="H204">
        <v>6</v>
      </c>
      <c r="J204">
        <v>756</v>
      </c>
      <c r="L204" s="30">
        <v>8815</v>
      </c>
      <c r="M204" s="30">
        <v>79358</v>
      </c>
      <c r="N204" s="30">
        <v>111079</v>
      </c>
    </row>
    <row r="205" spans="1:14" x14ac:dyDescent="0.25">
      <c r="A205">
        <v>199</v>
      </c>
      <c r="B205" t="s">
        <v>222</v>
      </c>
      <c r="C205">
        <v>72</v>
      </c>
      <c r="G205">
        <v>55</v>
      </c>
      <c r="H205">
        <v>17</v>
      </c>
      <c r="J205">
        <v>999</v>
      </c>
      <c r="L205" s="30">
        <v>5160</v>
      </c>
      <c r="M205" s="30">
        <v>71611</v>
      </c>
      <c r="N205" s="30">
        <v>72056</v>
      </c>
    </row>
    <row r="206" spans="1:14" x14ac:dyDescent="0.25">
      <c r="A206">
        <v>200</v>
      </c>
      <c r="B206" t="s">
        <v>202</v>
      </c>
      <c r="C206">
        <v>71</v>
      </c>
      <c r="E206">
        <v>1</v>
      </c>
      <c r="G206">
        <v>70</v>
      </c>
      <c r="H206">
        <v>0</v>
      </c>
      <c r="J206" s="30">
        <v>2342</v>
      </c>
      <c r="K206">
        <v>33</v>
      </c>
      <c r="L206" s="30">
        <v>5193</v>
      </c>
      <c r="M206" s="30">
        <v>171330</v>
      </c>
      <c r="N206" s="30">
        <v>30310</v>
      </c>
    </row>
    <row r="207" spans="1:14" x14ac:dyDescent="0.25">
      <c r="A207">
        <v>201</v>
      </c>
      <c r="B207" t="s">
        <v>211</v>
      </c>
      <c r="C207">
        <v>46</v>
      </c>
      <c r="G207">
        <v>46</v>
      </c>
      <c r="H207">
        <v>0</v>
      </c>
      <c r="J207">
        <v>70</v>
      </c>
      <c r="L207" s="30">
        <v>4238</v>
      </c>
      <c r="M207" s="30">
        <v>6492</v>
      </c>
      <c r="N207" s="30">
        <v>652781</v>
      </c>
    </row>
    <row r="208" spans="1:14" x14ac:dyDescent="0.25">
      <c r="A208">
        <v>202</v>
      </c>
      <c r="B208" t="s">
        <v>215</v>
      </c>
      <c r="C208">
        <v>41</v>
      </c>
      <c r="G208">
        <v>30</v>
      </c>
      <c r="H208">
        <v>11</v>
      </c>
      <c r="J208">
        <v>364</v>
      </c>
      <c r="L208" s="30">
        <v>6252</v>
      </c>
      <c r="M208" s="30">
        <v>55461</v>
      </c>
      <c r="N208" s="30">
        <v>112728</v>
      </c>
    </row>
    <row r="209" spans="1:14" x14ac:dyDescent="0.25">
      <c r="A209">
        <v>203</v>
      </c>
      <c r="B209" t="s">
        <v>218</v>
      </c>
      <c r="C209">
        <v>35</v>
      </c>
      <c r="E209">
        <v>2</v>
      </c>
      <c r="G209">
        <v>33</v>
      </c>
      <c r="H209">
        <v>0</v>
      </c>
      <c r="J209">
        <v>39</v>
      </c>
      <c r="K209">
        <v>2</v>
      </c>
      <c r="L209" s="30">
        <v>15235</v>
      </c>
      <c r="M209" s="30">
        <v>16947</v>
      </c>
      <c r="N209" s="30">
        <v>898991</v>
      </c>
    </row>
    <row r="210" spans="1:14" x14ac:dyDescent="0.25">
      <c r="A210">
        <v>204</v>
      </c>
      <c r="B210" t="s">
        <v>219</v>
      </c>
      <c r="C210">
        <v>32</v>
      </c>
      <c r="G210">
        <v>32</v>
      </c>
      <c r="H210">
        <v>0</v>
      </c>
      <c r="J210">
        <v>112</v>
      </c>
      <c r="L210" s="30">
        <v>17179</v>
      </c>
      <c r="M210" s="30">
        <v>59947</v>
      </c>
      <c r="N210" s="30">
        <v>286571</v>
      </c>
    </row>
    <row r="211" spans="1:14" x14ac:dyDescent="0.25">
      <c r="A211">
        <v>205</v>
      </c>
      <c r="B211" t="s">
        <v>214</v>
      </c>
      <c r="C211">
        <v>30</v>
      </c>
      <c r="G211">
        <v>30</v>
      </c>
      <c r="H211">
        <v>0</v>
      </c>
      <c r="J211">
        <v>23</v>
      </c>
      <c r="L211" s="30">
        <v>12487</v>
      </c>
      <c r="M211" s="30">
        <v>9402</v>
      </c>
      <c r="N211" s="30">
        <v>1328165</v>
      </c>
    </row>
    <row r="212" spans="1:14" x14ac:dyDescent="0.25">
      <c r="A212">
        <v>206</v>
      </c>
      <c r="B212" t="s">
        <v>226</v>
      </c>
      <c r="C212">
        <v>27</v>
      </c>
      <c r="G212">
        <v>15</v>
      </c>
      <c r="H212">
        <v>12</v>
      </c>
      <c r="J212" s="30">
        <v>33666</v>
      </c>
      <c r="N212">
        <v>802</v>
      </c>
    </row>
    <row r="213" spans="1:14" x14ac:dyDescent="0.25">
      <c r="A213">
        <v>207</v>
      </c>
      <c r="B213" t="s">
        <v>217</v>
      </c>
      <c r="C213">
        <v>25</v>
      </c>
      <c r="G213">
        <v>23</v>
      </c>
      <c r="H213">
        <v>2</v>
      </c>
      <c r="J213">
        <v>3</v>
      </c>
      <c r="L213" s="30">
        <v>74068</v>
      </c>
      <c r="M213" s="30">
        <v>10123</v>
      </c>
      <c r="N213" s="30">
        <v>7316628</v>
      </c>
    </row>
    <row r="214" spans="1:14" x14ac:dyDescent="0.25">
      <c r="A214">
        <v>208</v>
      </c>
      <c r="B214" t="s">
        <v>223</v>
      </c>
      <c r="C214">
        <v>19</v>
      </c>
      <c r="G214">
        <v>19</v>
      </c>
      <c r="H214">
        <v>0</v>
      </c>
      <c r="J214">
        <v>356</v>
      </c>
      <c r="L214" s="30">
        <v>3369</v>
      </c>
      <c r="M214" s="30">
        <v>63153</v>
      </c>
      <c r="N214" s="30">
        <v>53347</v>
      </c>
    </row>
    <row r="215" spans="1:14" x14ac:dyDescent="0.25">
      <c r="A215">
        <v>209</v>
      </c>
      <c r="B215" t="s">
        <v>225</v>
      </c>
      <c r="C215">
        <v>18</v>
      </c>
      <c r="G215">
        <v>18</v>
      </c>
      <c r="H215">
        <v>0</v>
      </c>
      <c r="J215">
        <v>317</v>
      </c>
      <c r="L215" s="30">
        <v>12578</v>
      </c>
      <c r="M215" s="30">
        <v>221409</v>
      </c>
      <c r="N215" s="30">
        <v>56809</v>
      </c>
    </row>
    <row r="216" spans="1:14" x14ac:dyDescent="0.25">
      <c r="A216">
        <v>210</v>
      </c>
      <c r="B216" t="s">
        <v>224</v>
      </c>
      <c r="C216">
        <v>16</v>
      </c>
      <c r="G216">
        <v>13</v>
      </c>
      <c r="H216">
        <v>3</v>
      </c>
      <c r="J216" s="30">
        <v>4547</v>
      </c>
      <c r="L216" s="30">
        <v>3977</v>
      </c>
      <c r="M216" s="30">
        <v>1130151</v>
      </c>
      <c r="N216" s="30">
        <v>3519</v>
      </c>
    </row>
    <row r="217" spans="1:14" x14ac:dyDescent="0.25">
      <c r="A217">
        <v>211</v>
      </c>
      <c r="B217" t="s">
        <v>233</v>
      </c>
      <c r="C217">
        <v>16</v>
      </c>
      <c r="G217">
        <v>12</v>
      </c>
      <c r="H217">
        <v>4</v>
      </c>
      <c r="J217" s="30">
        <v>2767</v>
      </c>
      <c r="L217" s="30">
        <v>2624</v>
      </c>
      <c r="M217" s="30">
        <v>453744</v>
      </c>
      <c r="N217" s="30">
        <v>5783</v>
      </c>
    </row>
    <row r="218" spans="1:14" x14ac:dyDescent="0.25">
      <c r="A218">
        <v>212</v>
      </c>
      <c r="B218" t="s">
        <v>2127</v>
      </c>
      <c r="C218">
        <v>16</v>
      </c>
      <c r="G218">
        <v>5</v>
      </c>
      <c r="H218">
        <v>11</v>
      </c>
      <c r="J218">
        <v>23</v>
      </c>
      <c r="L218" s="30">
        <v>4500</v>
      </c>
      <c r="M218" s="30">
        <v>6490</v>
      </c>
      <c r="N218" s="30">
        <v>693364</v>
      </c>
    </row>
    <row r="219" spans="1:14" x14ac:dyDescent="0.25">
      <c r="A219">
        <v>213</v>
      </c>
      <c r="B219" t="s">
        <v>199</v>
      </c>
      <c r="C219">
        <v>13</v>
      </c>
      <c r="E219">
        <v>1</v>
      </c>
      <c r="G219">
        <v>12</v>
      </c>
      <c r="H219">
        <v>0</v>
      </c>
      <c r="J219" s="30">
        <v>2604</v>
      </c>
      <c r="K219">
        <v>200</v>
      </c>
      <c r="L219">
        <v>577</v>
      </c>
      <c r="M219" s="30">
        <v>115562</v>
      </c>
      <c r="N219" s="30">
        <v>4993</v>
      </c>
    </row>
    <row r="220" spans="1:14" x14ac:dyDescent="0.25">
      <c r="A220">
        <v>214</v>
      </c>
      <c r="B220" t="s">
        <v>201</v>
      </c>
      <c r="C220">
        <v>10</v>
      </c>
      <c r="E220">
        <v>1</v>
      </c>
      <c r="G220">
        <v>8</v>
      </c>
      <c r="H220">
        <v>1</v>
      </c>
      <c r="J220">
        <v>17</v>
      </c>
      <c r="K220">
        <v>2</v>
      </c>
      <c r="N220" s="30">
        <v>602988</v>
      </c>
    </row>
    <row r="221" spans="1:14" x14ac:dyDescent="0.25">
      <c r="A221">
        <v>215</v>
      </c>
      <c r="B221" t="s">
        <v>185</v>
      </c>
      <c r="C221">
        <v>9</v>
      </c>
      <c r="E221">
        <v>2</v>
      </c>
      <c r="H221">
        <v>7</v>
      </c>
    </row>
    <row r="222" spans="1:14" x14ac:dyDescent="0.25">
      <c r="A222">
        <v>216</v>
      </c>
      <c r="B222" t="s">
        <v>2128</v>
      </c>
      <c r="C222">
        <v>4</v>
      </c>
      <c r="G222">
        <v>1</v>
      </c>
      <c r="H222">
        <v>3</v>
      </c>
      <c r="J222">
        <v>67</v>
      </c>
      <c r="N222" s="30">
        <v>59347</v>
      </c>
    </row>
    <row r="223" spans="1:14" x14ac:dyDescent="0.25">
      <c r="A223">
        <v>217</v>
      </c>
      <c r="B223" t="s">
        <v>231</v>
      </c>
      <c r="C223">
        <v>3</v>
      </c>
      <c r="G223">
        <v>3</v>
      </c>
      <c r="H223">
        <v>0</v>
      </c>
      <c r="J223">
        <v>199</v>
      </c>
      <c r="L223" s="30">
        <v>1820</v>
      </c>
      <c r="M223" s="30">
        <v>120890</v>
      </c>
      <c r="N223" s="30">
        <v>15055</v>
      </c>
    </row>
    <row r="224" spans="1:14" x14ac:dyDescent="0.25">
      <c r="A224">
        <v>218</v>
      </c>
      <c r="B224" t="s">
        <v>2129</v>
      </c>
      <c r="C224">
        <v>2</v>
      </c>
      <c r="G224">
        <v>1</v>
      </c>
      <c r="H224">
        <v>1</v>
      </c>
      <c r="J224">
        <v>179</v>
      </c>
      <c r="L224" s="30">
        <v>1149</v>
      </c>
      <c r="M224" s="30">
        <v>102957</v>
      </c>
      <c r="N224" s="30">
        <v>11160</v>
      </c>
    </row>
    <row r="225" spans="1:14" x14ac:dyDescent="0.25">
      <c r="A225">
        <v>219</v>
      </c>
      <c r="B225" t="s">
        <v>2130</v>
      </c>
      <c r="C225">
        <v>1</v>
      </c>
      <c r="H225">
        <v>1</v>
      </c>
      <c r="J225">
        <v>5</v>
      </c>
      <c r="N225" s="30">
        <v>198931</v>
      </c>
    </row>
    <row r="226" spans="1:14" x14ac:dyDescent="0.25">
      <c r="A226">
        <v>220</v>
      </c>
      <c r="B226" t="s">
        <v>2131</v>
      </c>
      <c r="C226">
        <v>1</v>
      </c>
      <c r="H226">
        <v>1</v>
      </c>
      <c r="J226">
        <v>3</v>
      </c>
      <c r="N226" s="30">
        <v>309910</v>
      </c>
    </row>
    <row r="227" spans="1:14" x14ac:dyDescent="0.25">
      <c r="B227" t="s">
        <v>234</v>
      </c>
      <c r="C227" s="30">
        <v>58494728</v>
      </c>
      <c r="D227" s="30">
        <v>14124</v>
      </c>
      <c r="E227" s="30">
        <v>1386570</v>
      </c>
      <c r="F227">
        <v>792</v>
      </c>
      <c r="G227" s="30">
        <v>40467900</v>
      </c>
      <c r="H227" s="30">
        <v>16640258</v>
      </c>
      <c r="I227" s="30">
        <v>102391</v>
      </c>
      <c r="J227" s="208">
        <v>7504.3</v>
      </c>
      <c r="K227">
        <v>177.9</v>
      </c>
    </row>
    <row r="228" spans="1:14" x14ac:dyDescent="0.25">
      <c r="A228" t="s">
        <v>2132</v>
      </c>
    </row>
    <row r="229" spans="1:14" x14ac:dyDescent="0.25">
      <c r="A229" t="e" cm="1">
        <f t="array" ref="A229" xml:space="preserve"> all cases have recovered from the infection</f>
        <v>#NAME?</v>
      </c>
    </row>
    <row r="230" spans="1:14" x14ac:dyDescent="0.25">
      <c r="A230" t="s">
        <v>2133</v>
      </c>
    </row>
    <row r="231" spans="1:14" x14ac:dyDescent="0.25">
      <c r="A231" t="e" cm="1">
        <f t="array" ref="A231" xml:space="preserve"> all cases have had an outcome (there are no active cases)</f>
        <v>#NAME?</v>
      </c>
    </row>
    <row r="233" spans="1:14" x14ac:dyDescent="0.25">
      <c r="A233" t="s">
        <v>2134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4D807-7F1A-42FC-AD58-BC68603E867A}">
  <dimension ref="A1:T92"/>
  <sheetViews>
    <sheetView topLeftCell="A29" workbookViewId="0">
      <selection activeCell="T29" sqref="T29"/>
    </sheetView>
  </sheetViews>
  <sheetFormatPr defaultRowHeight="15" x14ac:dyDescent="0.25"/>
  <cols>
    <col min="1" max="1" width="22.140625" customWidth="1"/>
    <col min="2" max="2" width="9.140625" bestFit="1" customWidth="1"/>
    <col min="3" max="3" width="56.85546875" bestFit="1" customWidth="1"/>
    <col min="4" max="4" width="8.28515625" style="33" customWidth="1"/>
    <col min="5" max="5" width="8.5703125" bestFit="1" customWidth="1"/>
    <col min="6" max="6" width="9.140625" bestFit="1" customWidth="1"/>
    <col min="7" max="7" width="9.28515625" style="31" customWidth="1"/>
    <col min="8" max="8" width="9.140625" style="28"/>
    <col min="9" max="9" width="15.28515625" bestFit="1" customWidth="1"/>
    <col min="10" max="10" width="9.140625" style="28"/>
    <col min="11" max="11" width="8.85546875" customWidth="1"/>
    <col min="12" max="12" width="9" bestFit="1" customWidth="1"/>
    <col min="13" max="13" width="11.140625" bestFit="1" customWidth="1"/>
    <col min="14" max="14" width="13.85546875" bestFit="1" customWidth="1"/>
    <col min="15" max="15" width="8.28515625" bestFit="1" customWidth="1"/>
    <col min="16" max="16" width="8.28515625" style="33" customWidth="1"/>
    <col min="17" max="17" width="15.7109375" bestFit="1" customWidth="1"/>
    <col min="18" max="18" width="9.7109375" bestFit="1" customWidth="1"/>
    <col min="19" max="19" width="9.7109375" customWidth="1"/>
    <col min="20" max="20" width="14.5703125" customWidth="1"/>
  </cols>
  <sheetData>
    <row r="1" spans="1:5" x14ac:dyDescent="0.25">
      <c r="A1" s="31" t="s">
        <v>4547</v>
      </c>
    </row>
    <row r="2" spans="1:5" x14ac:dyDescent="0.25">
      <c r="A2" s="31" t="s">
        <v>4540</v>
      </c>
    </row>
    <row r="3" spans="1:5" ht="30" x14ac:dyDescent="0.25">
      <c r="A3" s="28"/>
      <c r="B3" s="355" t="s">
        <v>4544</v>
      </c>
      <c r="C3" s="28" t="s">
        <v>4545</v>
      </c>
      <c r="E3" s="28" t="s">
        <v>1464</v>
      </c>
    </row>
    <row r="4" spans="1:5" x14ac:dyDescent="0.25">
      <c r="B4" s="87">
        <v>1</v>
      </c>
      <c r="C4" t="s">
        <v>4548</v>
      </c>
      <c r="E4" s="28" t="s">
        <v>1450</v>
      </c>
    </row>
    <row r="5" spans="1:5" ht="15.75" x14ac:dyDescent="0.25">
      <c r="B5" s="30">
        <v>6</v>
      </c>
      <c r="C5" t="s">
        <v>4549</v>
      </c>
      <c r="E5" s="61" t="s">
        <v>1441</v>
      </c>
    </row>
    <row r="6" spans="1:5" ht="15.75" x14ac:dyDescent="0.25">
      <c r="B6" s="30">
        <v>7</v>
      </c>
      <c r="C6" t="s">
        <v>4550</v>
      </c>
      <c r="E6" s="61" t="s">
        <v>1443</v>
      </c>
    </row>
    <row r="7" spans="1:5" ht="15.75" x14ac:dyDescent="0.25">
      <c r="B7" s="30">
        <v>24</v>
      </c>
      <c r="C7" t="s">
        <v>4551</v>
      </c>
      <c r="E7" s="61" t="s">
        <v>1443</v>
      </c>
    </row>
    <row r="8" spans="1:5" ht="15.75" x14ac:dyDescent="0.25">
      <c r="B8" s="30">
        <v>27</v>
      </c>
      <c r="C8" t="s">
        <v>4552</v>
      </c>
      <c r="E8" s="61" t="s">
        <v>1444</v>
      </c>
    </row>
    <row r="9" spans="1:5" ht="15.75" x14ac:dyDescent="0.25">
      <c r="B9" s="30">
        <v>88</v>
      </c>
      <c r="C9" t="s">
        <v>4553</v>
      </c>
      <c r="E9" s="61" t="s">
        <v>1445</v>
      </c>
    </row>
    <row r="10" spans="1:5" ht="15.75" x14ac:dyDescent="0.25">
      <c r="B10" s="30">
        <v>92</v>
      </c>
      <c r="C10" t="s">
        <v>4554</v>
      </c>
      <c r="E10" s="61" t="s">
        <v>1442</v>
      </c>
    </row>
    <row r="11" spans="1:5" ht="15.75" x14ac:dyDescent="0.25">
      <c r="B11" s="30">
        <v>106</v>
      </c>
      <c r="C11" t="s">
        <v>4555</v>
      </c>
      <c r="E11" s="61" t="s">
        <v>1446</v>
      </c>
    </row>
    <row r="12" spans="1:5" ht="15.75" x14ac:dyDescent="0.25">
      <c r="B12" s="30">
        <v>107</v>
      </c>
      <c r="C12" t="s">
        <v>4573</v>
      </c>
      <c r="E12" s="61" t="s">
        <v>1446</v>
      </c>
    </row>
    <row r="13" spans="1:5" ht="15.75" x14ac:dyDescent="0.25">
      <c r="B13" s="30">
        <v>289</v>
      </c>
      <c r="C13" t="s">
        <v>4556</v>
      </c>
      <c r="E13" s="61" t="s">
        <v>1447</v>
      </c>
    </row>
    <row r="14" spans="1:5" ht="15.75" x14ac:dyDescent="0.25">
      <c r="B14" s="30">
        <v>543</v>
      </c>
      <c r="C14" t="s">
        <v>4574</v>
      </c>
      <c r="E14" s="61" t="s">
        <v>1448</v>
      </c>
    </row>
    <row r="15" spans="1:5" ht="15.75" x14ac:dyDescent="0.25">
      <c r="B15" s="30">
        <v>899</v>
      </c>
      <c r="C15" t="s">
        <v>4557</v>
      </c>
      <c r="E15" s="61" t="s">
        <v>1449</v>
      </c>
    </row>
    <row r="16" spans="1:5" x14ac:dyDescent="0.25">
      <c r="B16" s="30">
        <v>1128</v>
      </c>
      <c r="C16" t="s">
        <v>4558</v>
      </c>
    </row>
    <row r="17" spans="1:20" x14ac:dyDescent="0.25">
      <c r="B17" s="30">
        <v>1547</v>
      </c>
      <c r="C17" t="s">
        <v>4559</v>
      </c>
    </row>
    <row r="18" spans="1:20" x14ac:dyDescent="0.25">
      <c r="B18" s="30">
        <v>2535</v>
      </c>
      <c r="C18" t="s">
        <v>4560</v>
      </c>
    </row>
    <row r="19" spans="1:20" x14ac:dyDescent="0.25">
      <c r="B19" s="30">
        <v>3825</v>
      </c>
      <c r="C19" t="s">
        <v>4561</v>
      </c>
    </row>
    <row r="20" spans="1:20" x14ac:dyDescent="0.25">
      <c r="B20" s="30">
        <v>8248</v>
      </c>
      <c r="C20" t="s">
        <v>4562</v>
      </c>
    </row>
    <row r="21" spans="1:20" x14ac:dyDescent="0.25">
      <c r="B21" s="30">
        <v>8571</v>
      </c>
      <c r="C21" t="s">
        <v>4563</v>
      </c>
    </row>
    <row r="22" spans="1:20" x14ac:dyDescent="0.25">
      <c r="B22" s="30">
        <v>13394</v>
      </c>
      <c r="C22" t="s">
        <v>4564</v>
      </c>
    </row>
    <row r="23" spans="1:20" x14ac:dyDescent="0.25">
      <c r="B23" s="30">
        <v>29334</v>
      </c>
      <c r="C23" t="s">
        <v>4565</v>
      </c>
    </row>
    <row r="24" spans="1:20" x14ac:dyDescent="0.25">
      <c r="B24" s="30">
        <v>58669</v>
      </c>
      <c r="C24" t="s">
        <v>4566</v>
      </c>
    </row>
    <row r="25" spans="1:20" x14ac:dyDescent="0.25">
      <c r="B25" s="30">
        <v>59507</v>
      </c>
      <c r="C25" t="s">
        <v>4567</v>
      </c>
    </row>
    <row r="26" spans="1:20" x14ac:dyDescent="0.25">
      <c r="B26" s="30">
        <v>63113</v>
      </c>
      <c r="C26" t="s">
        <v>4568</v>
      </c>
    </row>
    <row r="27" spans="1:20" x14ac:dyDescent="0.25">
      <c r="B27" s="30">
        <v>86781</v>
      </c>
      <c r="C27" t="s">
        <v>4569</v>
      </c>
    </row>
    <row r="28" spans="1:20" x14ac:dyDescent="0.25">
      <c r="B28" s="30">
        <v>138849</v>
      </c>
      <c r="C28" t="s">
        <v>4575</v>
      </c>
    </row>
    <row r="29" spans="1:20" x14ac:dyDescent="0.25">
      <c r="S29" s="28">
        <v>0.15</v>
      </c>
      <c r="T29" t="s">
        <v>4591</v>
      </c>
    </row>
    <row r="30" spans="1:20" s="2" customFormat="1" ht="30" x14ac:dyDescent="0.25">
      <c r="A30" s="79" t="s">
        <v>1469</v>
      </c>
      <c r="B30" s="42" t="s">
        <v>4544</v>
      </c>
      <c r="C30" s="42" t="s">
        <v>3434</v>
      </c>
      <c r="D30" s="42" t="s">
        <v>275</v>
      </c>
      <c r="E30" s="42" t="s">
        <v>1776</v>
      </c>
      <c r="F30" s="42" t="s">
        <v>1476</v>
      </c>
      <c r="G30" s="86" t="s">
        <v>4546</v>
      </c>
      <c r="H30" s="42" t="s">
        <v>1460</v>
      </c>
      <c r="I30" s="42" t="s">
        <v>1470</v>
      </c>
      <c r="J30" s="42" t="s">
        <v>4578</v>
      </c>
      <c r="K30" s="42" t="s">
        <v>1456</v>
      </c>
      <c r="L30" s="42" t="s">
        <v>1475</v>
      </c>
      <c r="M30" s="42" t="s">
        <v>1453</v>
      </c>
      <c r="N30" s="42" t="s">
        <v>4579</v>
      </c>
      <c r="O30" s="42" t="s">
        <v>4580</v>
      </c>
      <c r="P30" s="42" t="s">
        <v>275</v>
      </c>
      <c r="Q30" s="42" t="s">
        <v>1455</v>
      </c>
      <c r="R30" s="42" t="s">
        <v>1495</v>
      </c>
      <c r="S30" s="42" t="s">
        <v>4592</v>
      </c>
      <c r="T30" s="42" t="s">
        <v>4581</v>
      </c>
    </row>
    <row r="31" spans="1:20" x14ac:dyDescent="0.25">
      <c r="A31" t="s">
        <v>3832</v>
      </c>
      <c r="B31" s="30">
        <f t="shared" ref="B31:B40" si="0">1/(S31)</f>
        <v>106.67076604669793</v>
      </c>
      <c r="C31" s="30" t="str">
        <f>VLOOKUP(B31,B$4:C$28, 2)</f>
        <v>7. Fall</v>
      </c>
      <c r="D31" s="89" t="s">
        <v>1536</v>
      </c>
      <c r="E31" s="48">
        <v>1</v>
      </c>
      <c r="F31">
        <f t="shared" ref="F31:F40" si="1">L31/3600</f>
        <v>1</v>
      </c>
      <c r="G31" s="31">
        <v>2</v>
      </c>
      <c r="H31" s="29">
        <v>10800</v>
      </c>
      <c r="I31" s="30" t="s">
        <v>1471</v>
      </c>
      <c r="J31" s="28">
        <v>366</v>
      </c>
      <c r="K31" s="77">
        <f t="shared" ref="K31:K40" si="2">$H$78</f>
        <v>0.02</v>
      </c>
      <c r="L31" s="28">
        <v>3600</v>
      </c>
      <c r="M31" s="30">
        <f t="shared" ref="M31:M40" si="3">G31*J31*K31*L31</f>
        <v>52704</v>
      </c>
      <c r="N31" s="30">
        <f>T31*12*12*12/3600</f>
        <v>5184</v>
      </c>
      <c r="O31" s="77">
        <f>0.25*0.25</f>
        <v>6.25E-2</v>
      </c>
      <c r="P31" s="89" t="s">
        <v>1536</v>
      </c>
      <c r="Q31" s="76">
        <f>O31*(1-EXP(-M31/N31))</f>
        <v>6.2497598111821547E-2</v>
      </c>
      <c r="R31" s="34">
        <f t="shared" ref="R31:R40" si="4">Q31</f>
        <v>6.2497598111821547E-2</v>
      </c>
      <c r="S31" s="354">
        <f>R31*S$29</f>
        <v>9.3746397167732316E-3</v>
      </c>
      <c r="T31" s="30">
        <f t="shared" ref="T31:T40" si="5">H31*E31</f>
        <v>10800</v>
      </c>
    </row>
    <row r="32" spans="1:20" x14ac:dyDescent="0.25">
      <c r="A32" t="s">
        <v>3832</v>
      </c>
      <c r="B32" s="30">
        <f t="shared" si="0"/>
        <v>107.33204057989255</v>
      </c>
      <c r="C32" s="30" t="str">
        <f t="shared" ref="C32:C40" si="6">VLOOKUP(B32,B$4:C$28, 2)</f>
        <v>8. Motor vehicle crash</v>
      </c>
      <c r="D32" s="89" t="s">
        <v>1536</v>
      </c>
      <c r="E32" s="48">
        <v>1</v>
      </c>
      <c r="F32">
        <f t="shared" si="1"/>
        <v>1</v>
      </c>
      <c r="G32" s="31">
        <v>1</v>
      </c>
      <c r="H32" s="29">
        <v>10800</v>
      </c>
      <c r="I32" s="30" t="s">
        <v>1471</v>
      </c>
      <c r="J32" s="28">
        <v>366</v>
      </c>
      <c r="K32" s="77">
        <f t="shared" si="2"/>
        <v>0.02</v>
      </c>
      <c r="L32" s="28">
        <v>3600</v>
      </c>
      <c r="M32" s="30">
        <f t="shared" si="3"/>
        <v>26352</v>
      </c>
      <c r="N32" s="30">
        <f t="shared" ref="N32:N40" si="7">T32*12*12*12/3600</f>
        <v>5184</v>
      </c>
      <c r="O32" s="77">
        <f t="shared" ref="O32:O40" si="8">0.25*0.25</f>
        <v>6.25E-2</v>
      </c>
      <c r="P32" s="89" t="s">
        <v>1536</v>
      </c>
      <c r="Q32" s="76">
        <f>O32*(1-EXP(-M32/N32))</f>
        <v>6.2112549343588938E-2</v>
      </c>
      <c r="R32" s="34">
        <f t="shared" si="4"/>
        <v>6.2112549343588938E-2</v>
      </c>
      <c r="S32" s="354">
        <f t="shared" ref="S32:S40" si="9">R32*S$29</f>
        <v>9.3168824015383411E-3</v>
      </c>
      <c r="T32" s="30">
        <f t="shared" si="5"/>
        <v>10800</v>
      </c>
    </row>
    <row r="33" spans="1:20" x14ac:dyDescent="0.25">
      <c r="A33" t="s">
        <v>3832</v>
      </c>
      <c r="B33" s="30">
        <f t="shared" si="0"/>
        <v>148.27123240437481</v>
      </c>
      <c r="C33" s="30" t="str">
        <f t="shared" si="6"/>
        <v>8. Motor vehicle crash</v>
      </c>
      <c r="D33" s="89" t="s">
        <v>1536</v>
      </c>
      <c r="E33" s="48">
        <v>4</v>
      </c>
      <c r="F33">
        <f t="shared" si="1"/>
        <v>1</v>
      </c>
      <c r="G33" s="31">
        <v>1</v>
      </c>
      <c r="H33" s="29">
        <v>10800</v>
      </c>
      <c r="I33" s="30" t="s">
        <v>1472</v>
      </c>
      <c r="J33" s="28">
        <v>366</v>
      </c>
      <c r="K33" s="77">
        <f t="shared" si="2"/>
        <v>0.02</v>
      </c>
      <c r="L33" s="28">
        <v>3600</v>
      </c>
      <c r="M33" s="30">
        <f t="shared" si="3"/>
        <v>26352</v>
      </c>
      <c r="N33" s="30">
        <f t="shared" si="7"/>
        <v>20736</v>
      </c>
      <c r="O33" s="77">
        <f t="shared" si="8"/>
        <v>6.25E-2</v>
      </c>
      <c r="P33" s="89" t="s">
        <v>1536</v>
      </c>
      <c r="Q33" s="76">
        <f>O33*(1-EXP(-M33/N33))</f>
        <v>4.4962644193075198E-2</v>
      </c>
      <c r="R33" s="34">
        <f t="shared" si="4"/>
        <v>4.4962644193075198E-2</v>
      </c>
      <c r="S33" s="354">
        <f t="shared" si="9"/>
        <v>6.7443966289612795E-3</v>
      </c>
      <c r="T33" s="30">
        <f t="shared" si="5"/>
        <v>43200</v>
      </c>
    </row>
    <row r="34" spans="1:20" x14ac:dyDescent="0.25">
      <c r="A34" t="s">
        <v>3832</v>
      </c>
      <c r="B34" s="30">
        <f t="shared" si="0"/>
        <v>6.7082525362432843</v>
      </c>
      <c r="C34" s="30" t="str">
        <f t="shared" si="6"/>
        <v>1. Heart disease</v>
      </c>
      <c r="D34" s="89" t="s">
        <v>239</v>
      </c>
      <c r="E34" s="48">
        <v>1</v>
      </c>
      <c r="F34">
        <f t="shared" si="1"/>
        <v>1</v>
      </c>
      <c r="G34" s="31">
        <v>1</v>
      </c>
      <c r="H34" s="29">
        <v>10800</v>
      </c>
      <c r="I34" s="30" t="s">
        <v>1472</v>
      </c>
      <c r="J34" s="28">
        <v>366</v>
      </c>
      <c r="K34" s="77">
        <f t="shared" si="2"/>
        <v>0.02</v>
      </c>
      <c r="L34" s="28">
        <v>3600</v>
      </c>
      <c r="M34" s="30">
        <f t="shared" si="3"/>
        <v>26352</v>
      </c>
      <c r="N34" s="30">
        <f t="shared" si="7"/>
        <v>5184</v>
      </c>
      <c r="O34" s="77" t="s">
        <v>1468</v>
      </c>
      <c r="P34" s="89" t="s">
        <v>239</v>
      </c>
      <c r="Q34" s="76">
        <f>(1-EXP(-M34/N34))</f>
        <v>0.99380078949742301</v>
      </c>
      <c r="R34" s="34">
        <f t="shared" si="4"/>
        <v>0.99380078949742301</v>
      </c>
      <c r="S34" s="354">
        <f t="shared" si="9"/>
        <v>0.14907011842461346</v>
      </c>
      <c r="T34" s="30">
        <f t="shared" si="5"/>
        <v>10800</v>
      </c>
    </row>
    <row r="35" spans="1:20" x14ac:dyDescent="0.25">
      <c r="A35" t="s">
        <v>3832</v>
      </c>
      <c r="B35" s="30">
        <f t="shared" si="0"/>
        <v>9.2669520252734259</v>
      </c>
      <c r="C35" s="30" t="str">
        <f t="shared" si="6"/>
        <v>2. Cancer</v>
      </c>
      <c r="D35" s="89" t="s">
        <v>239</v>
      </c>
      <c r="E35" s="48">
        <v>4</v>
      </c>
      <c r="F35">
        <f t="shared" si="1"/>
        <v>1</v>
      </c>
      <c r="G35" s="31">
        <v>1</v>
      </c>
      <c r="H35" s="29">
        <v>10800</v>
      </c>
      <c r="I35" s="30" t="s">
        <v>1472</v>
      </c>
      <c r="J35" s="28">
        <v>366</v>
      </c>
      <c r="K35" s="77">
        <f t="shared" si="2"/>
        <v>0.02</v>
      </c>
      <c r="L35" s="28">
        <v>3600</v>
      </c>
      <c r="M35" s="30">
        <f t="shared" si="3"/>
        <v>26352</v>
      </c>
      <c r="N35" s="30">
        <f t="shared" si="7"/>
        <v>20736</v>
      </c>
      <c r="O35" s="77" t="s">
        <v>1468</v>
      </c>
      <c r="P35" s="89" t="s">
        <v>239</v>
      </c>
      <c r="Q35" s="76">
        <f>(1-EXP(-M35/N35))</f>
        <v>0.71940230708920316</v>
      </c>
      <c r="R35" s="34">
        <f t="shared" si="4"/>
        <v>0.71940230708920316</v>
      </c>
      <c r="S35" s="354">
        <f t="shared" si="9"/>
        <v>0.10791034606338047</v>
      </c>
      <c r="T35" s="30">
        <f t="shared" si="5"/>
        <v>43200</v>
      </c>
    </row>
    <row r="36" spans="1:20" x14ac:dyDescent="0.25">
      <c r="A36" t="s">
        <v>3832</v>
      </c>
      <c r="B36" s="30">
        <f t="shared" si="0"/>
        <v>19.305676904303152</v>
      </c>
      <c r="C36" s="30" t="str">
        <f t="shared" si="6"/>
        <v>2. Cancer</v>
      </c>
      <c r="D36" s="89" t="s">
        <v>239</v>
      </c>
      <c r="E36" s="48">
        <v>12</v>
      </c>
      <c r="F36">
        <f t="shared" si="1"/>
        <v>1</v>
      </c>
      <c r="G36" s="31">
        <v>1</v>
      </c>
      <c r="H36" s="29">
        <v>10800</v>
      </c>
      <c r="I36" s="30" t="s">
        <v>3853</v>
      </c>
      <c r="J36" s="28">
        <v>366</v>
      </c>
      <c r="K36" s="77">
        <f t="shared" si="2"/>
        <v>0.02</v>
      </c>
      <c r="L36" s="28">
        <v>3600</v>
      </c>
      <c r="M36" s="30">
        <f t="shared" si="3"/>
        <v>26352</v>
      </c>
      <c r="N36" s="30">
        <f t="shared" si="7"/>
        <v>62208</v>
      </c>
      <c r="O36" s="77" t="s">
        <v>1468</v>
      </c>
      <c r="P36" s="89" t="s">
        <v>239</v>
      </c>
      <c r="Q36" s="76">
        <f>(1-EXP(-M36/N36))</f>
        <v>0.34532157042267164</v>
      </c>
      <c r="R36" s="34">
        <f t="shared" si="4"/>
        <v>0.34532157042267164</v>
      </c>
      <c r="S36" s="354">
        <f t="shared" si="9"/>
        <v>5.1798235563400748E-2</v>
      </c>
      <c r="T36" s="30">
        <f t="shared" si="5"/>
        <v>129600</v>
      </c>
    </row>
    <row r="37" spans="1:20" x14ac:dyDescent="0.25">
      <c r="A37" t="s">
        <v>3832</v>
      </c>
      <c r="B37" s="30">
        <f t="shared" si="0"/>
        <v>29.703893436266622</v>
      </c>
      <c r="C37" s="30" t="str">
        <f t="shared" si="6"/>
        <v>4. Chronic lower respiratory disease</v>
      </c>
      <c r="D37" s="89" t="s">
        <v>239</v>
      </c>
      <c r="E37" s="48">
        <v>20</v>
      </c>
      <c r="F37">
        <f t="shared" si="1"/>
        <v>1</v>
      </c>
      <c r="G37" s="31">
        <v>1</v>
      </c>
      <c r="H37" s="29">
        <v>10800</v>
      </c>
      <c r="I37" s="30" t="s">
        <v>3854</v>
      </c>
      <c r="J37" s="28">
        <v>366</v>
      </c>
      <c r="K37" s="77">
        <f t="shared" si="2"/>
        <v>0.02</v>
      </c>
      <c r="L37" s="28">
        <v>3600</v>
      </c>
      <c r="M37" s="30">
        <f t="shared" si="3"/>
        <v>26352</v>
      </c>
      <c r="N37" s="30">
        <f t="shared" si="7"/>
        <v>103680</v>
      </c>
      <c r="O37" s="77" t="s">
        <v>1468</v>
      </c>
      <c r="P37" s="89" t="s">
        <v>239</v>
      </c>
      <c r="Q37" s="76">
        <f>(1-EXP(-M37/N37))</f>
        <v>0.22443746914763296</v>
      </c>
      <c r="R37" s="34">
        <f t="shared" si="4"/>
        <v>0.22443746914763296</v>
      </c>
      <c r="S37" s="354">
        <f t="shared" si="9"/>
        <v>3.366562037214494E-2</v>
      </c>
      <c r="T37" s="30">
        <f t="shared" si="5"/>
        <v>216000</v>
      </c>
    </row>
    <row r="38" spans="1:20" x14ac:dyDescent="0.25">
      <c r="A38" t="s">
        <v>3832</v>
      </c>
      <c r="B38" s="30">
        <f t="shared" si="0"/>
        <v>34.926325035478442</v>
      </c>
      <c r="C38" s="30" t="str">
        <f t="shared" si="6"/>
        <v>4. Chronic lower respiratory disease</v>
      </c>
      <c r="D38" s="89" t="s">
        <v>239</v>
      </c>
      <c r="E38" s="48">
        <v>24</v>
      </c>
      <c r="F38">
        <f t="shared" si="1"/>
        <v>1</v>
      </c>
      <c r="G38" s="31">
        <v>1</v>
      </c>
      <c r="H38" s="29">
        <v>10800</v>
      </c>
      <c r="I38" s="30" t="s">
        <v>3854</v>
      </c>
      <c r="J38" s="28">
        <v>366</v>
      </c>
      <c r="K38" s="77">
        <f t="shared" si="2"/>
        <v>0.02</v>
      </c>
      <c r="L38" s="28">
        <v>3600</v>
      </c>
      <c r="M38" s="30">
        <f t="shared" si="3"/>
        <v>26352</v>
      </c>
      <c r="N38" s="30">
        <f t="shared" si="7"/>
        <v>124416</v>
      </c>
      <c r="O38" s="77" t="s">
        <v>1468</v>
      </c>
      <c r="P38" s="89" t="s">
        <v>239</v>
      </c>
      <c r="Q38" s="76">
        <f>(1-EXP(-M38/N38))</f>
        <v>0.1908779884483871</v>
      </c>
      <c r="R38" s="34">
        <f t="shared" si="4"/>
        <v>0.1908779884483871</v>
      </c>
      <c r="S38" s="354">
        <f t="shared" si="9"/>
        <v>2.8631698267258063E-2</v>
      </c>
      <c r="T38" s="30">
        <f t="shared" si="5"/>
        <v>259200</v>
      </c>
    </row>
    <row r="39" spans="1:20" x14ac:dyDescent="0.25">
      <c r="A39" t="s">
        <v>3832</v>
      </c>
      <c r="B39" s="30">
        <f t="shared" si="0"/>
        <v>267.66857642130697</v>
      </c>
      <c r="C39" s="30" t="str">
        <f t="shared" si="6"/>
        <v>8. Motor vehicle crash</v>
      </c>
      <c r="D39" s="89" t="s">
        <v>1536</v>
      </c>
      <c r="E39" s="48">
        <v>10</v>
      </c>
      <c r="F39">
        <f t="shared" si="1"/>
        <v>1</v>
      </c>
      <c r="G39" s="31">
        <v>1</v>
      </c>
      <c r="H39" s="29">
        <v>10800</v>
      </c>
      <c r="I39" s="30" t="s">
        <v>1473</v>
      </c>
      <c r="J39" s="28">
        <v>366</v>
      </c>
      <c r="K39" s="77">
        <f t="shared" si="2"/>
        <v>0.02</v>
      </c>
      <c r="L39" s="28">
        <v>3600</v>
      </c>
      <c r="M39" s="30">
        <f t="shared" si="3"/>
        <v>26352</v>
      </c>
      <c r="N39" s="30">
        <f t="shared" si="7"/>
        <v>51840</v>
      </c>
      <c r="O39" s="77">
        <f t="shared" si="8"/>
        <v>6.25E-2</v>
      </c>
      <c r="P39" s="89" t="s">
        <v>1536</v>
      </c>
      <c r="Q39" s="76">
        <f>O39*(1-EXP(-M39/N39))</f>
        <v>2.4906422546116948E-2</v>
      </c>
      <c r="R39" s="34">
        <f t="shared" si="4"/>
        <v>2.4906422546116948E-2</v>
      </c>
      <c r="S39" s="354">
        <f t="shared" si="9"/>
        <v>3.735963381917542E-3</v>
      </c>
      <c r="T39" s="30">
        <f t="shared" si="5"/>
        <v>108000</v>
      </c>
    </row>
    <row r="40" spans="1:20" x14ac:dyDescent="0.25">
      <c r="A40" t="s">
        <v>3832</v>
      </c>
      <c r="B40" s="30">
        <f t="shared" si="0"/>
        <v>893.80692131300793</v>
      </c>
      <c r="C40" s="30" t="str">
        <f t="shared" si="6"/>
        <v>10. Pedestrian incident</v>
      </c>
      <c r="D40" s="89" t="s">
        <v>1536</v>
      </c>
      <c r="E40" s="48">
        <v>40</v>
      </c>
      <c r="F40">
        <f t="shared" si="1"/>
        <v>1</v>
      </c>
      <c r="G40" s="31">
        <v>1</v>
      </c>
      <c r="H40" s="29">
        <v>10800</v>
      </c>
      <c r="I40" s="30" t="s">
        <v>1474</v>
      </c>
      <c r="J40" s="28">
        <v>366</v>
      </c>
      <c r="K40" s="77">
        <f t="shared" si="2"/>
        <v>0.02</v>
      </c>
      <c r="L40" s="28">
        <v>3600</v>
      </c>
      <c r="M40" s="30">
        <f t="shared" si="3"/>
        <v>26352</v>
      </c>
      <c r="N40" s="30">
        <f t="shared" si="7"/>
        <v>207360</v>
      </c>
      <c r="O40" s="77">
        <f t="shared" si="8"/>
        <v>6.25E-2</v>
      </c>
      <c r="P40" s="89" t="s">
        <v>1536</v>
      </c>
      <c r="Q40" s="76">
        <f>O40*(1-EXP(-M40/N40))</f>
        <v>7.4587324260963345E-3</v>
      </c>
      <c r="R40" s="34">
        <f t="shared" si="4"/>
        <v>7.4587324260963345E-3</v>
      </c>
      <c r="S40" s="354">
        <f t="shared" si="9"/>
        <v>1.1188098639144501E-3</v>
      </c>
      <c r="T40" s="30">
        <f t="shared" si="5"/>
        <v>432000</v>
      </c>
    </row>
    <row r="41" spans="1:20" x14ac:dyDescent="0.25">
      <c r="L41" s="28"/>
      <c r="N41" s="28"/>
    </row>
    <row r="42" spans="1:20" x14ac:dyDescent="0.25">
      <c r="A42" t="s">
        <v>3833</v>
      </c>
      <c r="B42" s="30">
        <f>1/(S42)</f>
        <v>444.35558119500763</v>
      </c>
      <c r="C42" s="30" t="str">
        <f t="shared" ref="C42:C46" si="10">VLOOKUP(B42,B$4:C$28, 2)</f>
        <v>9. Gun assault</v>
      </c>
      <c r="D42" s="89" t="s">
        <v>1536</v>
      </c>
      <c r="E42" s="48">
        <v>1</v>
      </c>
      <c r="F42">
        <f>L42/3600</f>
        <v>1</v>
      </c>
      <c r="G42" s="31">
        <v>2</v>
      </c>
      <c r="H42" s="29">
        <v>400000</v>
      </c>
      <c r="I42" s="30" t="s">
        <v>1471</v>
      </c>
      <c r="J42" s="28">
        <v>366</v>
      </c>
      <c r="K42" s="77">
        <f>$H$78</f>
        <v>0.02</v>
      </c>
      <c r="L42" s="28">
        <v>3600</v>
      </c>
      <c r="M42" s="30">
        <f>G42*J42*K42*L42</f>
        <v>52704</v>
      </c>
      <c r="N42" s="30">
        <f t="shared" ref="N42:N46" si="11">T42*12*12*12/3600</f>
        <v>192000</v>
      </c>
      <c r="O42" s="77">
        <f t="shared" ref="O42:O46" si="12">0.25*0.25</f>
        <v>6.25E-2</v>
      </c>
      <c r="P42" s="89" t="s">
        <v>1536</v>
      </c>
      <c r="Q42" s="76">
        <f>O42*(1-EXP(-M42/N42))</f>
        <v>1.5002999734442329E-2</v>
      </c>
      <c r="R42" s="34">
        <f>Q42</f>
        <v>1.5002999734442329E-2</v>
      </c>
      <c r="S42" s="354">
        <f t="shared" ref="S42:S46" si="13">R42*S$29</f>
        <v>2.2504499601663495E-3</v>
      </c>
      <c r="T42" s="30">
        <f>H42*E42</f>
        <v>400000</v>
      </c>
    </row>
    <row r="43" spans="1:20" x14ac:dyDescent="0.25">
      <c r="A43" t="s">
        <v>3833</v>
      </c>
      <c r="B43" s="30">
        <f>1/(S43)</f>
        <v>831.72356371079616</v>
      </c>
      <c r="C43" s="30" t="str">
        <f t="shared" si="10"/>
        <v>10. Pedestrian incident</v>
      </c>
      <c r="D43" s="89" t="s">
        <v>1536</v>
      </c>
      <c r="E43" s="48">
        <v>1</v>
      </c>
      <c r="F43">
        <f>L43/3600</f>
        <v>1</v>
      </c>
      <c r="G43" s="31">
        <v>1</v>
      </c>
      <c r="H43" s="29">
        <v>400000</v>
      </c>
      <c r="I43" s="30" t="s">
        <v>1471</v>
      </c>
      <c r="J43" s="28">
        <v>366</v>
      </c>
      <c r="K43" s="77">
        <f>$H$78</f>
        <v>0.02</v>
      </c>
      <c r="L43" s="28">
        <v>3600</v>
      </c>
      <c r="M43" s="30">
        <f>G43*J43*K43*L43</f>
        <v>26352</v>
      </c>
      <c r="N43" s="30">
        <f t="shared" si="11"/>
        <v>192000</v>
      </c>
      <c r="O43" s="77">
        <f t="shared" si="12"/>
        <v>6.25E-2</v>
      </c>
      <c r="P43" s="89" t="s">
        <v>1536</v>
      </c>
      <c r="Q43" s="76">
        <f>O43*(1-EXP(-M43/N43))</f>
        <v>8.0154836986015415E-3</v>
      </c>
      <c r="R43" s="34">
        <f>Q43</f>
        <v>8.0154836986015415E-3</v>
      </c>
      <c r="S43" s="354">
        <f t="shared" si="13"/>
        <v>1.2023225547902311E-3</v>
      </c>
      <c r="T43" s="30">
        <f>H43*E43</f>
        <v>400000</v>
      </c>
    </row>
    <row r="44" spans="1:20" x14ac:dyDescent="0.25">
      <c r="A44" t="s">
        <v>3833</v>
      </c>
      <c r="B44" s="30">
        <f>1/(S44)</f>
        <v>3162.3207802933962</v>
      </c>
      <c r="C44" s="30" t="str">
        <f t="shared" si="10"/>
        <v>14. Choking on food</v>
      </c>
      <c r="D44" s="89" t="s">
        <v>1536</v>
      </c>
      <c r="E44" s="48">
        <v>4</v>
      </c>
      <c r="F44">
        <f>L44/3600</f>
        <v>1</v>
      </c>
      <c r="G44" s="31">
        <v>1</v>
      </c>
      <c r="H44" s="29">
        <v>400000</v>
      </c>
      <c r="I44" s="30" t="s">
        <v>1472</v>
      </c>
      <c r="J44" s="28">
        <v>366</v>
      </c>
      <c r="K44" s="77">
        <f>$H$78</f>
        <v>0.02</v>
      </c>
      <c r="L44" s="28">
        <v>3600</v>
      </c>
      <c r="M44" s="30">
        <f>G44*J44*K44*L44</f>
        <v>26352</v>
      </c>
      <c r="N44" s="30">
        <f t="shared" si="11"/>
        <v>768000</v>
      </c>
      <c r="O44" s="77">
        <f t="shared" si="12"/>
        <v>6.25E-2</v>
      </c>
      <c r="P44" s="89" t="s">
        <v>1536</v>
      </c>
      <c r="Q44" s="76">
        <f>O44*(1-EXP(-M44/N44))</f>
        <v>2.1081563604208875E-3</v>
      </c>
      <c r="R44" s="354">
        <f>Q44</f>
        <v>2.1081563604208875E-3</v>
      </c>
      <c r="S44" s="354">
        <f t="shared" si="13"/>
        <v>3.1622345406313309E-4</v>
      </c>
      <c r="T44" s="30">
        <f>H44*E44</f>
        <v>1600000</v>
      </c>
    </row>
    <row r="45" spans="1:20" x14ac:dyDescent="0.25">
      <c r="A45" t="s">
        <v>3833</v>
      </c>
      <c r="B45" s="30">
        <f>1/(S45)</f>
        <v>7825.161465312206</v>
      </c>
      <c r="C45" s="30" t="str">
        <f t="shared" si="10"/>
        <v>15. Bicyclist</v>
      </c>
      <c r="D45" s="89" t="s">
        <v>1536</v>
      </c>
      <c r="E45" s="48">
        <v>10</v>
      </c>
      <c r="F45">
        <f>L45/3600</f>
        <v>1</v>
      </c>
      <c r="G45" s="31">
        <v>1</v>
      </c>
      <c r="H45" s="29">
        <v>400000</v>
      </c>
      <c r="I45" s="30" t="s">
        <v>1473</v>
      </c>
      <c r="J45" s="28">
        <v>366</v>
      </c>
      <c r="K45" s="77">
        <f>$H$78</f>
        <v>0.02</v>
      </c>
      <c r="L45" s="28">
        <v>3600</v>
      </c>
      <c r="M45" s="30">
        <f>G45*J45*K45*L45</f>
        <v>26352</v>
      </c>
      <c r="N45" s="30">
        <f t="shared" si="11"/>
        <v>1920000</v>
      </c>
      <c r="O45" s="77">
        <f t="shared" si="12"/>
        <v>6.25E-2</v>
      </c>
      <c r="P45" s="89" t="s">
        <v>1536</v>
      </c>
      <c r="Q45" s="76">
        <f>O45*(1-EXP(-M45/N45))</f>
        <v>8.5195260138963558E-4</v>
      </c>
      <c r="R45" s="354">
        <f>Q45</f>
        <v>8.5195260138963558E-4</v>
      </c>
      <c r="S45" s="354">
        <f t="shared" si="13"/>
        <v>1.2779289020844534E-4</v>
      </c>
      <c r="T45" s="30">
        <f>H45*E45</f>
        <v>4000000</v>
      </c>
    </row>
    <row r="46" spans="1:20" x14ac:dyDescent="0.25">
      <c r="A46" t="s">
        <v>3833</v>
      </c>
      <c r="B46" s="30">
        <f>1/(S46)</f>
        <v>31140.188362775152</v>
      </c>
      <c r="C46" s="30" t="str">
        <f t="shared" si="10"/>
        <v>19. Sharp objects</v>
      </c>
      <c r="D46" s="89" t="s">
        <v>1536</v>
      </c>
      <c r="E46" s="48">
        <v>40</v>
      </c>
      <c r="F46">
        <f>L46/3600</f>
        <v>1</v>
      </c>
      <c r="G46" s="31">
        <v>1</v>
      </c>
      <c r="H46" s="29">
        <v>400000</v>
      </c>
      <c r="I46" s="30" t="s">
        <v>1474</v>
      </c>
      <c r="J46" s="28">
        <v>366</v>
      </c>
      <c r="K46" s="77">
        <f>$H$78</f>
        <v>0.02</v>
      </c>
      <c r="L46" s="28">
        <v>3600</v>
      </c>
      <c r="M46" s="30">
        <f>G46*J46*K46*L46</f>
        <v>26352</v>
      </c>
      <c r="N46" s="30">
        <f t="shared" si="11"/>
        <v>7680000</v>
      </c>
      <c r="O46" s="77">
        <f t="shared" si="12"/>
        <v>6.25E-2</v>
      </c>
      <c r="P46" s="89" t="s">
        <v>1536</v>
      </c>
      <c r="Q46" s="76">
        <f>O46*(1-EXP(-M46/N46))</f>
        <v>2.1408562430649813E-4</v>
      </c>
      <c r="R46" s="354">
        <f>Q46</f>
        <v>2.1408562430649813E-4</v>
      </c>
      <c r="S46" s="354">
        <f t="shared" si="13"/>
        <v>3.2112843645974722E-5</v>
      </c>
      <c r="T46" s="30">
        <f>H46*E46</f>
        <v>16000000</v>
      </c>
    </row>
    <row r="47" spans="1:20" x14ac:dyDescent="0.25">
      <c r="L47" s="28"/>
      <c r="N47" s="28"/>
    </row>
    <row r="48" spans="1:20" x14ac:dyDescent="0.25">
      <c r="A48" t="s">
        <v>3832</v>
      </c>
      <c r="B48" s="30">
        <f>1/(S48)</f>
        <v>107.33204057989255</v>
      </c>
      <c r="C48" s="30" t="str">
        <f t="shared" ref="C48:C50" si="14">VLOOKUP(B48,B$4:C$28, 2)</f>
        <v>8. Motor vehicle crash</v>
      </c>
      <c r="D48" s="89" t="s">
        <v>1536</v>
      </c>
      <c r="E48" s="48">
        <v>1</v>
      </c>
      <c r="F48">
        <f>L48/3600</f>
        <v>1</v>
      </c>
      <c r="G48" s="31">
        <v>1</v>
      </c>
      <c r="H48" s="29">
        <v>10800</v>
      </c>
      <c r="I48" s="30" t="s">
        <v>1471</v>
      </c>
      <c r="J48" s="28">
        <v>366</v>
      </c>
      <c r="K48" s="77">
        <f>$H$78</f>
        <v>0.02</v>
      </c>
      <c r="L48" s="28">
        <v>3600</v>
      </c>
      <c r="M48" s="30">
        <f>G48*J48*K48*L48</f>
        <v>26352</v>
      </c>
      <c r="N48" s="30">
        <f t="shared" ref="N48:N50" si="15">T48*12*12*12/3600</f>
        <v>5184</v>
      </c>
      <c r="O48" s="77">
        <f t="shared" ref="O48:O50" si="16">0.25*0.25</f>
        <v>6.25E-2</v>
      </c>
      <c r="P48" s="89" t="s">
        <v>1536</v>
      </c>
      <c r="Q48" s="76">
        <f>O48*(1-EXP(-M48/N48))</f>
        <v>6.2112549343588938E-2</v>
      </c>
      <c r="R48" s="34">
        <f>Q48</f>
        <v>6.2112549343588938E-2</v>
      </c>
      <c r="S48" s="354">
        <f t="shared" ref="S48:S50" si="17">R48*S$29</f>
        <v>9.3168824015383411E-3</v>
      </c>
      <c r="T48" s="30">
        <f>H48*E48</f>
        <v>10800</v>
      </c>
    </row>
    <row r="49" spans="1:20" x14ac:dyDescent="0.25">
      <c r="A49" t="s">
        <v>3832</v>
      </c>
      <c r="B49" s="30">
        <f>1/(S49)</f>
        <v>148.27123240437481</v>
      </c>
      <c r="C49" s="30" t="str">
        <f t="shared" si="14"/>
        <v>8. Motor vehicle crash</v>
      </c>
      <c r="D49" s="89" t="s">
        <v>1536</v>
      </c>
      <c r="E49" s="48">
        <v>4</v>
      </c>
      <c r="F49">
        <f>L49/3600</f>
        <v>1</v>
      </c>
      <c r="G49" s="31">
        <v>1</v>
      </c>
      <c r="H49" s="29">
        <v>10800</v>
      </c>
      <c r="I49" s="30" t="s">
        <v>1472</v>
      </c>
      <c r="J49" s="28">
        <v>366</v>
      </c>
      <c r="K49" s="77">
        <f>$H$78</f>
        <v>0.02</v>
      </c>
      <c r="L49" s="28">
        <v>3600</v>
      </c>
      <c r="M49" s="30">
        <f>G49*J49*K49*L49</f>
        <v>26352</v>
      </c>
      <c r="N49" s="30">
        <f t="shared" si="15"/>
        <v>20736</v>
      </c>
      <c r="O49" s="77">
        <f t="shared" si="16"/>
        <v>6.25E-2</v>
      </c>
      <c r="P49" s="89" t="s">
        <v>1536</v>
      </c>
      <c r="Q49" s="76">
        <f>O49*(1-EXP(-M49/N49))</f>
        <v>4.4962644193075198E-2</v>
      </c>
      <c r="R49" s="34">
        <f>Q49</f>
        <v>4.4962644193075198E-2</v>
      </c>
      <c r="S49" s="354">
        <f t="shared" si="17"/>
        <v>6.7443966289612795E-3</v>
      </c>
      <c r="T49" s="30">
        <f>H49*E49</f>
        <v>43200</v>
      </c>
    </row>
    <row r="50" spans="1:20" x14ac:dyDescent="0.25">
      <c r="A50" t="s">
        <v>3832</v>
      </c>
      <c r="B50" s="30">
        <f>1/(S50)</f>
        <v>106.67076604669793</v>
      </c>
      <c r="C50" s="30" t="str">
        <f t="shared" si="14"/>
        <v>7. Fall</v>
      </c>
      <c r="D50" s="89" t="s">
        <v>1536</v>
      </c>
      <c r="E50" s="48">
        <v>4</v>
      </c>
      <c r="F50">
        <f>L50/3600</f>
        <v>8</v>
      </c>
      <c r="G50" s="31">
        <v>1</v>
      </c>
      <c r="H50" s="29">
        <v>10800</v>
      </c>
      <c r="I50" s="30" t="s">
        <v>1472</v>
      </c>
      <c r="J50" s="28">
        <v>366</v>
      </c>
      <c r="K50" s="77">
        <f>$H$78</f>
        <v>0.02</v>
      </c>
      <c r="L50" s="28">
        <f>3600*8</f>
        <v>28800</v>
      </c>
      <c r="M50" s="30">
        <f>G50*J50*K50*L50</f>
        <v>210816</v>
      </c>
      <c r="N50" s="30">
        <f t="shared" si="15"/>
        <v>20736</v>
      </c>
      <c r="O50" s="77">
        <f t="shared" si="16"/>
        <v>6.25E-2</v>
      </c>
      <c r="P50" s="89" t="s">
        <v>1536</v>
      </c>
      <c r="Q50" s="76">
        <f>O50*(1-EXP(-M50/N50))</f>
        <v>6.2497598111821547E-2</v>
      </c>
      <c r="R50" s="34">
        <f>Q50</f>
        <v>6.2497598111821547E-2</v>
      </c>
      <c r="S50" s="354">
        <f t="shared" si="17"/>
        <v>9.3746397167732316E-3</v>
      </c>
      <c r="T50" s="30">
        <f>H50*E50</f>
        <v>43200</v>
      </c>
    </row>
    <row r="51" spans="1:20" x14ac:dyDescent="0.25">
      <c r="B51" s="76"/>
      <c r="C51" s="76"/>
      <c r="D51" s="55"/>
      <c r="E51" s="46"/>
      <c r="H51" s="29"/>
      <c r="I51" s="30"/>
      <c r="K51" s="77"/>
      <c r="L51" s="28"/>
      <c r="M51" s="30"/>
      <c r="N51" s="29"/>
      <c r="O51" s="30"/>
      <c r="P51" s="55"/>
      <c r="Q51" s="76"/>
      <c r="R51" s="76"/>
      <c r="S51" s="76"/>
      <c r="T51" s="30"/>
    </row>
    <row r="52" spans="1:20" x14ac:dyDescent="0.25">
      <c r="A52" t="s">
        <v>3833</v>
      </c>
      <c r="B52" s="30">
        <f>1/(S52)</f>
        <v>831.72356371079616</v>
      </c>
      <c r="C52" s="30" t="str">
        <f t="shared" ref="C52:C54" si="18">VLOOKUP(B52,B$4:C$28, 2)</f>
        <v>10. Pedestrian incident</v>
      </c>
      <c r="D52" s="89" t="s">
        <v>1536</v>
      </c>
      <c r="E52" s="48">
        <v>1</v>
      </c>
      <c r="F52">
        <f>L52/3600</f>
        <v>1</v>
      </c>
      <c r="G52" s="31">
        <v>1</v>
      </c>
      <c r="H52" s="29">
        <v>400000</v>
      </c>
      <c r="I52" s="30" t="s">
        <v>1471</v>
      </c>
      <c r="J52" s="28">
        <v>366</v>
      </c>
      <c r="K52" s="77">
        <f>$H$78</f>
        <v>0.02</v>
      </c>
      <c r="L52" s="28">
        <v>3600</v>
      </c>
      <c r="M52" s="30">
        <f>G52*J52*K52*L52</f>
        <v>26352</v>
      </c>
      <c r="N52" s="30">
        <f t="shared" ref="N52:N54" si="19">T52*12*12*12/3600</f>
        <v>192000</v>
      </c>
      <c r="O52" s="77">
        <f t="shared" ref="O52:O54" si="20">0.25*0.25</f>
        <v>6.25E-2</v>
      </c>
      <c r="P52" s="89" t="s">
        <v>1536</v>
      </c>
      <c r="Q52" s="76">
        <f>O52*(1-EXP(-M52/N52))</f>
        <v>8.0154836986015415E-3</v>
      </c>
      <c r="R52" s="34">
        <f>Q52</f>
        <v>8.0154836986015415E-3</v>
      </c>
      <c r="S52" s="354">
        <f t="shared" ref="S52:S54" si="21">R52*S$29</f>
        <v>1.2023225547902311E-3</v>
      </c>
      <c r="T52" s="30">
        <f>H52*E52</f>
        <v>400000</v>
      </c>
    </row>
    <row r="53" spans="1:20" x14ac:dyDescent="0.25">
      <c r="A53" t="s">
        <v>3833</v>
      </c>
      <c r="B53" s="30">
        <f>1/(S53)</f>
        <v>3162.3207802933962</v>
      </c>
      <c r="C53" s="30" t="str">
        <f t="shared" si="18"/>
        <v>14. Choking on food</v>
      </c>
      <c r="D53" s="89" t="s">
        <v>1536</v>
      </c>
      <c r="E53" s="48">
        <v>4</v>
      </c>
      <c r="F53">
        <f>L53/3600</f>
        <v>1</v>
      </c>
      <c r="G53" s="31">
        <v>1</v>
      </c>
      <c r="H53" s="29">
        <v>400000</v>
      </c>
      <c r="I53" s="30" t="s">
        <v>1472</v>
      </c>
      <c r="J53" s="28">
        <v>366</v>
      </c>
      <c r="K53" s="77">
        <f>$H$78</f>
        <v>0.02</v>
      </c>
      <c r="L53" s="28">
        <v>3600</v>
      </c>
      <c r="M53" s="30">
        <f>G53*J53*K53*L53</f>
        <v>26352</v>
      </c>
      <c r="N53" s="30">
        <f t="shared" si="19"/>
        <v>768000</v>
      </c>
      <c r="O53" s="77">
        <f t="shared" si="20"/>
        <v>6.25E-2</v>
      </c>
      <c r="P53" s="89" t="s">
        <v>1536</v>
      </c>
      <c r="Q53" s="76">
        <f>O53*(1-EXP(-M53/N53))</f>
        <v>2.1081563604208875E-3</v>
      </c>
      <c r="R53" s="354">
        <f>Q53</f>
        <v>2.1081563604208875E-3</v>
      </c>
      <c r="S53" s="354">
        <f t="shared" si="21"/>
        <v>3.1622345406313309E-4</v>
      </c>
      <c r="T53" s="30">
        <f>H53*E53</f>
        <v>1600000</v>
      </c>
    </row>
    <row r="54" spans="1:20" x14ac:dyDescent="0.25">
      <c r="A54" t="s">
        <v>3833</v>
      </c>
      <c r="B54" s="30">
        <f>1/(S54)</f>
        <v>444.35558119500763</v>
      </c>
      <c r="C54" s="30" t="str">
        <f t="shared" si="18"/>
        <v>9. Gun assault</v>
      </c>
      <c r="D54" s="89" t="s">
        <v>1536</v>
      </c>
      <c r="E54" s="48">
        <v>4</v>
      </c>
      <c r="F54">
        <f>L54/3600</f>
        <v>8</v>
      </c>
      <c r="G54" s="31">
        <v>1</v>
      </c>
      <c r="H54" s="29">
        <v>400000</v>
      </c>
      <c r="I54" s="30" t="s">
        <v>1472</v>
      </c>
      <c r="J54" s="28">
        <v>366</v>
      </c>
      <c r="K54" s="77">
        <f>$H$78</f>
        <v>0.02</v>
      </c>
      <c r="L54" s="28">
        <f>3600*8</f>
        <v>28800</v>
      </c>
      <c r="M54" s="30">
        <f>G54*J54*K54*L54</f>
        <v>210816</v>
      </c>
      <c r="N54" s="30">
        <f t="shared" si="19"/>
        <v>768000</v>
      </c>
      <c r="O54" s="77">
        <f t="shared" si="20"/>
        <v>6.25E-2</v>
      </c>
      <c r="P54" s="89" t="s">
        <v>1536</v>
      </c>
      <c r="Q54" s="76">
        <f>O54*(1-EXP(-M54/N54))</f>
        <v>1.5002999734442329E-2</v>
      </c>
      <c r="R54" s="34">
        <f>Q54</f>
        <v>1.5002999734442329E-2</v>
      </c>
      <c r="S54" s="354">
        <f t="shared" si="21"/>
        <v>2.2504499601663495E-3</v>
      </c>
      <c r="T54" s="30">
        <f>H54*E54</f>
        <v>1600000</v>
      </c>
    </row>
    <row r="55" spans="1:20" x14ac:dyDescent="0.25">
      <c r="L55" s="28"/>
      <c r="N55" s="28"/>
    </row>
    <row r="56" spans="1:20" x14ac:dyDescent="0.25">
      <c r="A56" t="s">
        <v>3832</v>
      </c>
      <c r="B56" s="30">
        <f>1/(S56)</f>
        <v>6.7082525362432843</v>
      </c>
      <c r="C56" s="30" t="str">
        <f t="shared" ref="C56:C60" si="22">VLOOKUP(B56,B$4:C$28, 2)</f>
        <v>1. Heart disease</v>
      </c>
      <c r="D56" s="356" t="s">
        <v>1537</v>
      </c>
      <c r="E56" s="48">
        <v>1</v>
      </c>
      <c r="F56">
        <f>L56/3600</f>
        <v>1</v>
      </c>
      <c r="G56" s="31">
        <v>1</v>
      </c>
      <c r="H56" s="29">
        <v>10800</v>
      </c>
      <c r="I56" s="30" t="s">
        <v>1471</v>
      </c>
      <c r="J56" s="28">
        <v>366</v>
      </c>
      <c r="K56" s="77">
        <f>$H$78</f>
        <v>0.02</v>
      </c>
      <c r="L56" s="28">
        <v>3600</v>
      </c>
      <c r="M56" s="30">
        <f>G56*J56*K56*L56</f>
        <v>26352</v>
      </c>
      <c r="N56" s="30">
        <f t="shared" ref="N56:N60" si="23">T56*12*12*12/3600</f>
        <v>5184</v>
      </c>
      <c r="O56" s="78" t="s">
        <v>1538</v>
      </c>
      <c r="P56" s="357" t="s">
        <v>1537</v>
      </c>
      <c r="Q56" s="76">
        <f>(1-EXP(-M56/N56))</f>
        <v>0.99380078949742301</v>
      </c>
      <c r="R56" s="34">
        <f>Q56</f>
        <v>0.99380078949742301</v>
      </c>
      <c r="S56" s="354">
        <f t="shared" ref="S56:S60" si="24">R56*S$29</f>
        <v>0.14907011842461346</v>
      </c>
      <c r="T56" s="30">
        <f>H56*E56</f>
        <v>10800</v>
      </c>
    </row>
    <row r="57" spans="1:20" x14ac:dyDescent="0.25">
      <c r="A57" t="s">
        <v>3832</v>
      </c>
      <c r="B57" s="30">
        <f>1/(S57)</f>
        <v>9.2669520252734259</v>
      </c>
      <c r="C57" s="30" t="str">
        <f t="shared" si="22"/>
        <v>2. Cancer</v>
      </c>
      <c r="D57" s="356" t="s">
        <v>1537</v>
      </c>
      <c r="E57" s="48">
        <v>4</v>
      </c>
      <c r="F57">
        <f>L57/3600</f>
        <v>1</v>
      </c>
      <c r="G57" s="31">
        <v>1</v>
      </c>
      <c r="H57" s="29">
        <v>10800</v>
      </c>
      <c r="I57" s="30" t="s">
        <v>1472</v>
      </c>
      <c r="J57" s="28">
        <v>366</v>
      </c>
      <c r="K57" s="77">
        <f>$H$78</f>
        <v>0.02</v>
      </c>
      <c r="L57" s="28">
        <v>3600</v>
      </c>
      <c r="M57" s="30">
        <f>G57*J57*K57*L57</f>
        <v>26352</v>
      </c>
      <c r="N57" s="30">
        <f t="shared" si="23"/>
        <v>20736</v>
      </c>
      <c r="O57" s="78" t="s">
        <v>1538</v>
      </c>
      <c r="P57" s="357" t="s">
        <v>1537</v>
      </c>
      <c r="Q57" s="76">
        <f>(1-EXP(-M57/N57))</f>
        <v>0.71940230708920316</v>
      </c>
      <c r="R57" s="34">
        <f>Q57</f>
        <v>0.71940230708920316</v>
      </c>
      <c r="S57" s="354">
        <f t="shared" si="24"/>
        <v>0.10791034606338047</v>
      </c>
      <c r="T57" s="30">
        <f>H57*E57</f>
        <v>43200</v>
      </c>
    </row>
    <row r="58" spans="1:20" x14ac:dyDescent="0.25">
      <c r="A58" t="s">
        <v>3832</v>
      </c>
      <c r="B58" s="30">
        <f>1/(S58)</f>
        <v>55.862932582062996</v>
      </c>
      <c r="C58" s="30" t="str">
        <f t="shared" si="22"/>
        <v>4. Chronic lower respiratory disease</v>
      </c>
      <c r="D58" s="356" t="s">
        <v>1537</v>
      </c>
      <c r="E58" s="48">
        <v>40</v>
      </c>
      <c r="F58">
        <f>L58/3600</f>
        <v>1</v>
      </c>
      <c r="G58" s="31">
        <v>1</v>
      </c>
      <c r="H58" s="29">
        <v>10800</v>
      </c>
      <c r="I58" s="30" t="s">
        <v>1474</v>
      </c>
      <c r="J58" s="28">
        <v>366</v>
      </c>
      <c r="K58" s="77">
        <f>$H$78</f>
        <v>0.02</v>
      </c>
      <c r="L58" s="28">
        <v>3600</v>
      </c>
      <c r="M58" s="30">
        <f>G58*J58*K58*L58</f>
        <v>26352</v>
      </c>
      <c r="N58" s="30">
        <f t="shared" si="23"/>
        <v>207360</v>
      </c>
      <c r="O58" s="78" t="s">
        <v>1538</v>
      </c>
      <c r="P58" s="357" t="s">
        <v>1537</v>
      </c>
      <c r="Q58" s="76">
        <f>(1-EXP(-M58/N58))</f>
        <v>0.11933971881754135</v>
      </c>
      <c r="R58" s="34">
        <f>Q58</f>
        <v>0.11933971881754135</v>
      </c>
      <c r="S58" s="354">
        <f t="shared" si="24"/>
        <v>1.7900957822631201E-2</v>
      </c>
      <c r="T58" s="30">
        <f>H58*E58</f>
        <v>432000</v>
      </c>
    </row>
    <row r="59" spans="1:20" x14ac:dyDescent="0.25">
      <c r="A59" t="s">
        <v>3832</v>
      </c>
      <c r="B59" s="30">
        <f>1/(S59)</f>
        <v>6.6669228779186209</v>
      </c>
      <c r="C59" s="30" t="str">
        <f t="shared" si="22"/>
        <v>1. Heart disease</v>
      </c>
      <c r="D59" s="89" t="s">
        <v>239</v>
      </c>
      <c r="E59" s="48">
        <v>4</v>
      </c>
      <c r="F59">
        <f>L59/3600</f>
        <v>8</v>
      </c>
      <c r="G59" s="31">
        <v>1</v>
      </c>
      <c r="H59" s="29">
        <v>10800</v>
      </c>
      <c r="I59" s="30" t="s">
        <v>1472</v>
      </c>
      <c r="J59" s="28">
        <v>366</v>
      </c>
      <c r="K59" s="77">
        <f>$H$78</f>
        <v>0.02</v>
      </c>
      <c r="L59" s="28">
        <f>3600*8</f>
        <v>28800</v>
      </c>
      <c r="M59" s="30">
        <f>G59*J59*K59*L59</f>
        <v>210816</v>
      </c>
      <c r="N59" s="30">
        <f t="shared" si="23"/>
        <v>20736</v>
      </c>
      <c r="O59" s="78" t="s">
        <v>1468</v>
      </c>
      <c r="P59" s="89" t="s">
        <v>239</v>
      </c>
      <c r="Q59" s="76">
        <f>(1-EXP(-M59/N59))</f>
        <v>0.99996156978914474</v>
      </c>
      <c r="R59" s="34">
        <f>Q59</f>
        <v>0.99996156978914474</v>
      </c>
      <c r="S59" s="354">
        <f t="shared" si="24"/>
        <v>0.14999423546837171</v>
      </c>
      <c r="T59" s="30">
        <f>H59*E59</f>
        <v>43200</v>
      </c>
    </row>
    <row r="60" spans="1:20" x14ac:dyDescent="0.25">
      <c r="A60" t="s">
        <v>3832</v>
      </c>
      <c r="B60" s="30">
        <f>1/(S60)</f>
        <v>10.446028638825196</v>
      </c>
      <c r="C60" s="30" t="str">
        <f t="shared" si="22"/>
        <v>2. Cancer</v>
      </c>
      <c r="D60" s="89" t="s">
        <v>239</v>
      </c>
      <c r="E60" s="48">
        <v>40</v>
      </c>
      <c r="F60">
        <f>L60/3600</f>
        <v>8</v>
      </c>
      <c r="G60" s="31">
        <v>1</v>
      </c>
      <c r="H60" s="29">
        <v>10800</v>
      </c>
      <c r="I60" s="30" t="s">
        <v>1474</v>
      </c>
      <c r="J60" s="28">
        <v>366</v>
      </c>
      <c r="K60" s="77">
        <f>$H$78</f>
        <v>0.02</v>
      </c>
      <c r="L60" s="28">
        <f>3600*8</f>
        <v>28800</v>
      </c>
      <c r="M60" s="30">
        <f>G60*J60*K60*L60</f>
        <v>210816</v>
      </c>
      <c r="N60" s="30">
        <f t="shared" si="23"/>
        <v>207360</v>
      </c>
      <c r="O60" s="78" t="s">
        <v>1468</v>
      </c>
      <c r="P60" s="89" t="s">
        <v>239</v>
      </c>
      <c r="Q60" s="76">
        <f>(1-EXP(-M60/N60))</f>
        <v>0.63820107116003744</v>
      </c>
      <c r="R60" s="34">
        <f>Q60</f>
        <v>0.63820107116003744</v>
      </c>
      <c r="S60" s="354">
        <f t="shared" si="24"/>
        <v>9.573016067400561E-2</v>
      </c>
      <c r="T60" s="30">
        <f>H60*E60</f>
        <v>432000</v>
      </c>
    </row>
    <row r="61" spans="1:20" x14ac:dyDescent="0.25">
      <c r="B61" s="76"/>
      <c r="C61" s="76"/>
      <c r="D61" s="55"/>
      <c r="E61" s="46"/>
      <c r="H61" s="29"/>
      <c r="I61" s="30"/>
      <c r="K61" s="77"/>
      <c r="L61" s="28"/>
      <c r="M61" s="30"/>
      <c r="N61" s="29"/>
      <c r="O61" s="55"/>
      <c r="P61" s="55"/>
      <c r="Q61" s="76"/>
      <c r="R61" s="76"/>
      <c r="S61" s="76"/>
      <c r="T61" s="30"/>
    </row>
    <row r="62" spans="1:20" x14ac:dyDescent="0.25">
      <c r="A62" t="s">
        <v>3833</v>
      </c>
      <c r="B62" s="30">
        <f>1/(S62)</f>
        <v>51.98272273192476</v>
      </c>
      <c r="C62" s="30" t="str">
        <f t="shared" ref="C62:C66" si="25">VLOOKUP(B62,B$4:C$28, 2)</f>
        <v>4. Chronic lower respiratory disease</v>
      </c>
      <c r="D62" s="89" t="s">
        <v>239</v>
      </c>
      <c r="E62" s="48">
        <v>1</v>
      </c>
      <c r="F62">
        <v>1</v>
      </c>
      <c r="G62" s="31">
        <v>1</v>
      </c>
      <c r="H62" s="29">
        <v>400000</v>
      </c>
      <c r="I62" s="30" t="s">
        <v>1471</v>
      </c>
      <c r="J62" s="28">
        <v>366</v>
      </c>
      <c r="K62" s="77">
        <f>$H$78</f>
        <v>0.02</v>
      </c>
      <c r="L62" s="28">
        <v>3600</v>
      </c>
      <c r="M62" s="30">
        <f>G62*J62*K62*L62</f>
        <v>26352</v>
      </c>
      <c r="N62" s="30">
        <f t="shared" ref="N62:N66" si="26">T62*12*12*12/3600</f>
        <v>192000</v>
      </c>
      <c r="O62" s="78" t="s">
        <v>1468</v>
      </c>
      <c r="P62" s="89" t="s">
        <v>239</v>
      </c>
      <c r="Q62" s="76">
        <f>(1-EXP(-M62/N62))</f>
        <v>0.12824773917762466</v>
      </c>
      <c r="R62" s="34">
        <f>Q62</f>
        <v>0.12824773917762466</v>
      </c>
      <c r="S62" s="354">
        <f t="shared" ref="S62:S66" si="27">R62*S$29</f>
        <v>1.9237160876643698E-2</v>
      </c>
      <c r="T62" s="30">
        <f>H62*E62</f>
        <v>400000</v>
      </c>
    </row>
    <row r="63" spans="1:20" x14ac:dyDescent="0.25">
      <c r="A63" t="s">
        <v>3833</v>
      </c>
      <c r="B63" s="30">
        <f>1/(S63)</f>
        <v>197.64504876833726</v>
      </c>
      <c r="C63" s="30" t="str">
        <f t="shared" si="25"/>
        <v>8. Motor vehicle crash</v>
      </c>
      <c r="D63" s="89" t="s">
        <v>239</v>
      </c>
      <c r="E63" s="48">
        <v>4</v>
      </c>
      <c r="F63">
        <f>L63/3600</f>
        <v>1</v>
      </c>
      <c r="G63" s="31">
        <v>1</v>
      </c>
      <c r="H63" s="29">
        <v>400000</v>
      </c>
      <c r="I63" s="30" t="s">
        <v>1472</v>
      </c>
      <c r="J63" s="28">
        <v>366</v>
      </c>
      <c r="K63" s="77">
        <f>$H$78</f>
        <v>0.02</v>
      </c>
      <c r="L63" s="28">
        <v>3600</v>
      </c>
      <c r="M63" s="30">
        <f>G63*J63*K63*L63</f>
        <v>26352</v>
      </c>
      <c r="N63" s="30">
        <f t="shared" si="26"/>
        <v>768000</v>
      </c>
      <c r="O63" s="78" t="s">
        <v>1468</v>
      </c>
      <c r="P63" s="89" t="s">
        <v>239</v>
      </c>
      <c r="Q63" s="76">
        <f>(1-EXP(-M63/N63))</f>
        <v>3.37305017667342E-2</v>
      </c>
      <c r="R63" s="34">
        <f>Q63</f>
        <v>3.37305017667342E-2</v>
      </c>
      <c r="S63" s="354">
        <f t="shared" si="27"/>
        <v>5.0595752650101295E-3</v>
      </c>
      <c r="T63" s="30">
        <f>H63*E63</f>
        <v>1600000</v>
      </c>
    </row>
    <row r="64" spans="1:20" x14ac:dyDescent="0.25">
      <c r="A64" t="s">
        <v>3833</v>
      </c>
      <c r="B64" s="30">
        <f>1/(S64)</f>
        <v>1946.261772673447</v>
      </c>
      <c r="C64" s="30" t="str">
        <f t="shared" si="25"/>
        <v>13. Fire or smoke</v>
      </c>
      <c r="D64" s="89" t="s">
        <v>239</v>
      </c>
      <c r="E64" s="48">
        <v>40</v>
      </c>
      <c r="F64">
        <f>L64/3600</f>
        <v>1</v>
      </c>
      <c r="G64" s="31">
        <v>1</v>
      </c>
      <c r="H64" s="29">
        <v>400000</v>
      </c>
      <c r="I64" s="30" t="s">
        <v>1474</v>
      </c>
      <c r="J64" s="28">
        <v>366</v>
      </c>
      <c r="K64" s="77">
        <f>$H$78</f>
        <v>0.02</v>
      </c>
      <c r="L64" s="28">
        <v>3600</v>
      </c>
      <c r="M64" s="30">
        <f>G64*J64*K64*L64</f>
        <v>26352</v>
      </c>
      <c r="N64" s="30">
        <f t="shared" si="26"/>
        <v>7680000</v>
      </c>
      <c r="O64" s="78" t="s">
        <v>1468</v>
      </c>
      <c r="P64" s="89" t="s">
        <v>239</v>
      </c>
      <c r="Q64" s="76">
        <f>(1-EXP(-M64/N64))</f>
        <v>3.4253699889039702E-3</v>
      </c>
      <c r="R64" s="57">
        <f>Q64</f>
        <v>3.4253699889039702E-3</v>
      </c>
      <c r="S64" s="354">
        <f t="shared" si="27"/>
        <v>5.1380549833559554E-4</v>
      </c>
      <c r="T64" s="30">
        <f>H64*E64</f>
        <v>16000000</v>
      </c>
    </row>
    <row r="65" spans="1:20" x14ac:dyDescent="0.25">
      <c r="A65" t="s">
        <v>3833</v>
      </c>
      <c r="B65" s="30">
        <f>1/(S65)</f>
        <v>27.772223824687977</v>
      </c>
      <c r="C65" s="30" t="str">
        <f t="shared" si="25"/>
        <v>4. Chronic lower respiratory disease</v>
      </c>
      <c r="D65" s="89" t="s">
        <v>239</v>
      </c>
      <c r="E65" s="48">
        <v>4</v>
      </c>
      <c r="F65">
        <f>L65/3600</f>
        <v>8</v>
      </c>
      <c r="G65" s="31">
        <v>1</v>
      </c>
      <c r="H65" s="29">
        <v>400000</v>
      </c>
      <c r="I65" s="30" t="s">
        <v>1472</v>
      </c>
      <c r="J65" s="28">
        <v>366</v>
      </c>
      <c r="K65" s="77">
        <f>$H$78</f>
        <v>0.02</v>
      </c>
      <c r="L65" s="28">
        <f>3600*8</f>
        <v>28800</v>
      </c>
      <c r="M65" s="30">
        <f>G65*J65*K65*L65</f>
        <v>210816</v>
      </c>
      <c r="N65" s="30">
        <f t="shared" si="26"/>
        <v>768000</v>
      </c>
      <c r="O65" s="78" t="s">
        <v>1468</v>
      </c>
      <c r="P65" s="89" t="s">
        <v>239</v>
      </c>
      <c r="Q65" s="76">
        <f>(1-EXP(-M65/N65))</f>
        <v>0.24004799575107727</v>
      </c>
      <c r="R65" s="34">
        <f>Q65</f>
        <v>0.24004799575107727</v>
      </c>
      <c r="S65" s="354">
        <f t="shared" si="27"/>
        <v>3.6007199362661592E-2</v>
      </c>
      <c r="T65" s="30">
        <f>H65*E65</f>
        <v>1600000</v>
      </c>
    </row>
    <row r="66" spans="1:20" x14ac:dyDescent="0.25">
      <c r="A66" t="s">
        <v>3833</v>
      </c>
      <c r="B66" s="30">
        <f>1/(S66)</f>
        <v>246.21439977812977</v>
      </c>
      <c r="C66" s="30" t="str">
        <f t="shared" si="25"/>
        <v>8. Motor vehicle crash</v>
      </c>
      <c r="D66" s="89" t="s">
        <v>239</v>
      </c>
      <c r="E66" s="48">
        <v>40</v>
      </c>
      <c r="F66">
        <f>L66/3600</f>
        <v>8</v>
      </c>
      <c r="G66" s="31">
        <v>1</v>
      </c>
      <c r="H66" s="29">
        <v>400000</v>
      </c>
      <c r="I66" s="30" t="s">
        <v>1474</v>
      </c>
      <c r="J66" s="28">
        <v>366</v>
      </c>
      <c r="K66" s="77">
        <f>$H$78</f>
        <v>0.02</v>
      </c>
      <c r="L66" s="28">
        <f>3600*8</f>
        <v>28800</v>
      </c>
      <c r="M66" s="30">
        <f>G66*J66*K66*L66</f>
        <v>210816</v>
      </c>
      <c r="N66" s="30">
        <f t="shared" si="26"/>
        <v>7680000</v>
      </c>
      <c r="O66" s="78" t="s">
        <v>1468</v>
      </c>
      <c r="P66" s="89" t="s">
        <v>239</v>
      </c>
      <c r="Q66" s="76">
        <f>(1-EXP(-M66/N66))</f>
        <v>2.7076672496304743E-2</v>
      </c>
      <c r="R66" s="34">
        <f>Q66</f>
        <v>2.7076672496304743E-2</v>
      </c>
      <c r="S66" s="354">
        <f t="shared" si="27"/>
        <v>4.0615008744457112E-3</v>
      </c>
      <c r="T66" s="30">
        <f>H66*E66</f>
        <v>16000000</v>
      </c>
    </row>
    <row r="67" spans="1:20" x14ac:dyDescent="0.25">
      <c r="B67" s="76"/>
      <c r="C67" s="76"/>
      <c r="D67" s="78"/>
      <c r="E67" s="46"/>
      <c r="H67" s="29"/>
      <c r="I67" s="30"/>
      <c r="K67" s="77"/>
      <c r="L67" s="28"/>
      <c r="M67" s="30"/>
      <c r="N67" s="29"/>
      <c r="O67" s="78"/>
      <c r="P67" s="78"/>
      <c r="Q67" s="76"/>
      <c r="R67" s="76"/>
      <c r="S67" s="76"/>
      <c r="T67" s="30"/>
    </row>
    <row r="68" spans="1:20" x14ac:dyDescent="0.25">
      <c r="A68" t="s">
        <v>4541</v>
      </c>
      <c r="B68" s="30">
        <f t="shared" ref="B68:B73" si="28">1/(S68)</f>
        <v>1183.6643400442131</v>
      </c>
      <c r="C68" s="30" t="str">
        <f t="shared" ref="C68:C73" si="29">VLOOKUP(B68,B$4:C$28, 2)</f>
        <v>12. Drowning</v>
      </c>
      <c r="D68" s="89" t="s">
        <v>239</v>
      </c>
      <c r="E68" s="48">
        <v>3600</v>
      </c>
      <c r="F68">
        <f t="shared" ref="F68:F73" si="30">L68/3600</f>
        <v>4</v>
      </c>
      <c r="G68" s="31">
        <v>1</v>
      </c>
      <c r="H68" s="29">
        <v>10800</v>
      </c>
      <c r="I68" s="30" t="s">
        <v>1477</v>
      </c>
      <c r="J68" s="28">
        <v>366</v>
      </c>
      <c r="K68" s="77">
        <f t="shared" ref="K68:K73" si="31">$H$78</f>
        <v>0.02</v>
      </c>
      <c r="L68" s="28">
        <f t="shared" ref="L68:L69" si="32">3600*4</f>
        <v>14400</v>
      </c>
      <c r="M68" s="30">
        <f t="shared" ref="M68:M73" si="33">G68*J68*K68*L68</f>
        <v>105408</v>
      </c>
      <c r="N68" s="30">
        <f t="shared" ref="N68:N73" si="34">T68*12*12*12/3600</f>
        <v>18662400</v>
      </c>
      <c r="O68" s="78" t="s">
        <v>1468</v>
      </c>
      <c r="P68" s="89" t="s">
        <v>239</v>
      </c>
      <c r="Q68" s="76">
        <f t="shared" ref="Q68:Q73" si="35">(1-EXP(-M68/N68))</f>
        <v>5.6322273478456308E-3</v>
      </c>
      <c r="R68" s="34">
        <f t="shared" ref="R68:R73" si="36">Q68</f>
        <v>5.6322273478456308E-3</v>
      </c>
      <c r="S68" s="354">
        <f t="shared" ref="S68:S73" si="37">R68*S$29</f>
        <v>8.448341021768446E-4</v>
      </c>
      <c r="T68" s="30">
        <f t="shared" ref="T68:T73" si="38">H68*E68</f>
        <v>38880000</v>
      </c>
    </row>
    <row r="69" spans="1:20" x14ac:dyDescent="0.25">
      <c r="A69" t="s">
        <v>4541</v>
      </c>
      <c r="B69" s="30">
        <f t="shared" si="28"/>
        <v>5904.9733051674648</v>
      </c>
      <c r="C69" s="30" t="str">
        <f t="shared" si="29"/>
        <v>15. Bicyclist</v>
      </c>
      <c r="D69" s="89" t="s">
        <v>239</v>
      </c>
      <c r="E69" s="31">
        <f>E68*5</f>
        <v>18000</v>
      </c>
      <c r="F69">
        <f t="shared" si="30"/>
        <v>4</v>
      </c>
      <c r="G69" s="31">
        <v>1</v>
      </c>
      <c r="H69" s="29">
        <v>10800</v>
      </c>
      <c r="I69" s="30" t="s">
        <v>1479</v>
      </c>
      <c r="J69" s="28">
        <v>366</v>
      </c>
      <c r="K69" s="77">
        <f t="shared" si="31"/>
        <v>0.02</v>
      </c>
      <c r="L69" s="28">
        <f t="shared" si="32"/>
        <v>14400</v>
      </c>
      <c r="M69" s="30">
        <f t="shared" si="33"/>
        <v>105408</v>
      </c>
      <c r="N69" s="30">
        <f t="shared" si="34"/>
        <v>93312000</v>
      </c>
      <c r="O69" s="78" t="s">
        <v>1468</v>
      </c>
      <c r="P69" s="89" t="s">
        <v>239</v>
      </c>
      <c r="Q69" s="76">
        <f t="shared" si="35"/>
        <v>1.1289918382582087E-3</v>
      </c>
      <c r="R69" s="354">
        <f t="shared" si="36"/>
        <v>1.1289918382582087E-3</v>
      </c>
      <c r="S69" s="354">
        <f t="shared" si="37"/>
        <v>1.693487757387313E-4</v>
      </c>
      <c r="T69" s="30">
        <f t="shared" si="38"/>
        <v>194400000</v>
      </c>
    </row>
    <row r="70" spans="1:20" x14ac:dyDescent="0.25">
      <c r="A70" t="s">
        <v>4543</v>
      </c>
      <c r="B70" s="30">
        <f t="shared" si="28"/>
        <v>43719.180412593843</v>
      </c>
      <c r="C70" s="30" t="str">
        <f t="shared" si="29"/>
        <v>19. Sharp objects</v>
      </c>
      <c r="D70" s="89" t="s">
        <v>239</v>
      </c>
      <c r="E70" s="48">
        <v>3600</v>
      </c>
      <c r="F70">
        <f t="shared" si="30"/>
        <v>4</v>
      </c>
      <c r="G70" s="31">
        <v>1</v>
      </c>
      <c r="H70" s="29">
        <v>400000</v>
      </c>
      <c r="I70" s="30" t="s">
        <v>1477</v>
      </c>
      <c r="J70" s="28">
        <v>366</v>
      </c>
      <c r="K70" s="77">
        <f t="shared" si="31"/>
        <v>0.02</v>
      </c>
      <c r="L70" s="28">
        <f>3600*4</f>
        <v>14400</v>
      </c>
      <c r="M70" s="30">
        <f t="shared" si="33"/>
        <v>105408</v>
      </c>
      <c r="N70" s="30">
        <f t="shared" si="34"/>
        <v>691200000</v>
      </c>
      <c r="O70" s="78" t="s">
        <v>1468</v>
      </c>
      <c r="P70" s="89" t="s">
        <v>239</v>
      </c>
      <c r="Q70" s="76">
        <f t="shared" si="35"/>
        <v>1.5248837246606417E-4</v>
      </c>
      <c r="R70" s="354">
        <f t="shared" si="36"/>
        <v>1.5248837246606417E-4</v>
      </c>
      <c r="S70" s="354">
        <f t="shared" si="37"/>
        <v>2.2873255869909624E-5</v>
      </c>
      <c r="T70" s="30">
        <f t="shared" si="38"/>
        <v>1440000000</v>
      </c>
    </row>
    <row r="71" spans="1:20" x14ac:dyDescent="0.25">
      <c r="A71" t="s">
        <v>4543</v>
      </c>
      <c r="B71" s="30">
        <f t="shared" si="28"/>
        <v>218582.56832266858</v>
      </c>
      <c r="C71" s="30" t="str">
        <f t="shared" si="29"/>
        <v>24. Lightning</v>
      </c>
      <c r="D71" s="89" t="s">
        <v>239</v>
      </c>
      <c r="E71" s="31">
        <f>E70*5</f>
        <v>18000</v>
      </c>
      <c r="F71">
        <f t="shared" si="30"/>
        <v>4</v>
      </c>
      <c r="G71" s="31">
        <v>1</v>
      </c>
      <c r="H71" s="29">
        <v>400000</v>
      </c>
      <c r="I71" s="30" t="s">
        <v>1479</v>
      </c>
      <c r="J71" s="28">
        <v>366</v>
      </c>
      <c r="K71" s="77">
        <f t="shared" si="31"/>
        <v>0.02</v>
      </c>
      <c r="L71" s="28">
        <f>3600*4</f>
        <v>14400</v>
      </c>
      <c r="M71" s="30">
        <f t="shared" si="33"/>
        <v>105408</v>
      </c>
      <c r="N71" s="30">
        <f t="shared" si="34"/>
        <v>3456000000</v>
      </c>
      <c r="O71" s="78" t="s">
        <v>1468</v>
      </c>
      <c r="P71" s="89" t="s">
        <v>239</v>
      </c>
      <c r="Q71" s="76">
        <f t="shared" si="35"/>
        <v>3.0499534879768753E-5</v>
      </c>
      <c r="R71" s="354">
        <f t="shared" si="36"/>
        <v>3.0499534879768753E-5</v>
      </c>
      <c r="S71" s="354">
        <f t="shared" si="37"/>
        <v>4.5749302319653127E-6</v>
      </c>
      <c r="T71" s="30">
        <f t="shared" si="38"/>
        <v>7200000000</v>
      </c>
    </row>
    <row r="72" spans="1:20" x14ac:dyDescent="0.25">
      <c r="A72" t="s">
        <v>4542</v>
      </c>
      <c r="B72" s="30">
        <f t="shared" si="28"/>
        <v>437161.80328632018</v>
      </c>
      <c r="C72" s="30" t="str">
        <f t="shared" si="29"/>
        <v>24. Lightning</v>
      </c>
      <c r="D72" s="89" t="s">
        <v>239</v>
      </c>
      <c r="E72" s="48">
        <v>3600</v>
      </c>
      <c r="F72">
        <f t="shared" si="30"/>
        <v>4</v>
      </c>
      <c r="G72" s="31">
        <v>1</v>
      </c>
      <c r="H72" s="29">
        <f>100*1000*40</f>
        <v>4000000</v>
      </c>
      <c r="I72" s="30" t="s">
        <v>1477</v>
      </c>
      <c r="J72" s="28">
        <v>366</v>
      </c>
      <c r="K72" s="77">
        <f t="shared" si="31"/>
        <v>0.02</v>
      </c>
      <c r="L72" s="28">
        <f>3600*4</f>
        <v>14400</v>
      </c>
      <c r="M72" s="30">
        <f t="shared" si="33"/>
        <v>105408</v>
      </c>
      <c r="N72" s="30">
        <f t="shared" si="34"/>
        <v>6912000000</v>
      </c>
      <c r="O72" s="78" t="s">
        <v>1468</v>
      </c>
      <c r="P72" s="89" t="s">
        <v>239</v>
      </c>
      <c r="Q72" s="76">
        <f t="shared" si="35"/>
        <v>1.5249883719370416E-5</v>
      </c>
      <c r="R72" s="354">
        <f t="shared" si="36"/>
        <v>1.5249883719370416E-5</v>
      </c>
      <c r="S72" s="354">
        <f t="shared" si="37"/>
        <v>2.2874825579055623E-6</v>
      </c>
      <c r="T72" s="30">
        <f t="shared" si="38"/>
        <v>14400000000</v>
      </c>
    </row>
    <row r="73" spans="1:20" x14ac:dyDescent="0.25">
      <c r="A73" t="s">
        <v>4542</v>
      </c>
      <c r="B73" s="30">
        <f t="shared" si="28"/>
        <v>2185795.6830830546</v>
      </c>
      <c r="C73" s="30" t="str">
        <f t="shared" si="29"/>
        <v>24. Lightning</v>
      </c>
      <c r="D73" s="89" t="s">
        <v>239</v>
      </c>
      <c r="E73" s="31">
        <f>E72*5</f>
        <v>18000</v>
      </c>
      <c r="F73">
        <f t="shared" si="30"/>
        <v>4</v>
      </c>
      <c r="G73" s="31">
        <v>1</v>
      </c>
      <c r="H73" s="29">
        <f>100*1000*40</f>
        <v>4000000</v>
      </c>
      <c r="I73" s="30" t="s">
        <v>1479</v>
      </c>
      <c r="J73" s="28">
        <v>366</v>
      </c>
      <c r="K73" s="77">
        <f t="shared" si="31"/>
        <v>0.02</v>
      </c>
      <c r="L73" s="28">
        <f>3600*4</f>
        <v>14400</v>
      </c>
      <c r="M73" s="30">
        <f t="shared" si="33"/>
        <v>105408</v>
      </c>
      <c r="N73" s="30">
        <f t="shared" si="34"/>
        <v>34560000000</v>
      </c>
      <c r="O73" s="78" t="s">
        <v>1468</v>
      </c>
      <c r="P73" s="89" t="s">
        <v>239</v>
      </c>
      <c r="Q73" s="76">
        <f t="shared" si="35"/>
        <v>3.0499953487250764E-6</v>
      </c>
      <c r="R73" s="354">
        <f t="shared" si="36"/>
        <v>3.0499953487250764E-6</v>
      </c>
      <c r="S73" s="354">
        <f t="shared" si="37"/>
        <v>4.5749930230876143E-7</v>
      </c>
      <c r="T73" s="30">
        <f t="shared" si="38"/>
        <v>72000000000</v>
      </c>
    </row>
    <row r="74" spans="1:20" x14ac:dyDescent="0.25">
      <c r="B74" s="276"/>
      <c r="C74" s="276"/>
      <c r="D74" s="78"/>
      <c r="E74" s="46"/>
      <c r="H74" s="29"/>
      <c r="I74" s="30"/>
      <c r="K74" s="77"/>
      <c r="L74" s="28"/>
      <c r="M74" s="30"/>
      <c r="N74" s="29"/>
      <c r="O74" s="78"/>
      <c r="P74" s="78"/>
      <c r="Q74" s="277">
        <f>1/Q73</f>
        <v>327869.35246245813</v>
      </c>
      <c r="R74" s="276">
        <f>Q73</f>
        <v>3.0499953487250764E-6</v>
      </c>
      <c r="S74" s="276"/>
      <c r="T74" s="30" t="s">
        <v>2507</v>
      </c>
    </row>
    <row r="75" spans="1:20" x14ac:dyDescent="0.25">
      <c r="B75" s="76"/>
      <c r="C75" s="76"/>
      <c r="D75" s="55"/>
      <c r="E75" s="46"/>
      <c r="H75" s="29"/>
      <c r="I75" s="30"/>
      <c r="K75" s="77"/>
      <c r="M75" s="30"/>
      <c r="N75" s="30"/>
      <c r="O75" s="30"/>
      <c r="P75" s="55"/>
      <c r="Q75" s="277">
        <f>1/(Q73*0.035)</f>
        <v>9367695.7846416607</v>
      </c>
      <c r="R75" s="76"/>
      <c r="S75" s="76"/>
      <c r="T75" s="30" t="s">
        <v>2508</v>
      </c>
    </row>
    <row r="76" spans="1:20" x14ac:dyDescent="0.25">
      <c r="B76" s="76"/>
      <c r="C76" s="76"/>
      <c r="D76" s="55"/>
      <c r="E76" s="46"/>
      <c r="H76" s="29"/>
      <c r="I76" s="30"/>
      <c r="K76" s="77"/>
      <c r="M76" s="30"/>
      <c r="N76" s="30"/>
      <c r="O76" s="30"/>
      <c r="P76" s="55"/>
      <c r="Q76" s="277"/>
      <c r="R76" s="76"/>
      <c r="S76" s="76"/>
      <c r="T76" s="30"/>
    </row>
    <row r="77" spans="1:20" s="2" customFormat="1" ht="45" x14ac:dyDescent="0.25">
      <c r="D77" s="42" t="s">
        <v>1482</v>
      </c>
      <c r="E77" s="42" t="s">
        <v>1462</v>
      </c>
      <c r="F77" s="42" t="s">
        <v>841</v>
      </c>
      <c r="G77" s="42" t="s">
        <v>1463</v>
      </c>
      <c r="H77" s="42" t="s">
        <v>1456</v>
      </c>
      <c r="P77" s="42"/>
    </row>
    <row r="78" spans="1:20" x14ac:dyDescent="0.25">
      <c r="D78">
        <v>1000</v>
      </c>
      <c r="E78">
        <v>20</v>
      </c>
      <c r="F78">
        <v>1</v>
      </c>
      <c r="G78">
        <f>D78/(E78*F78)</f>
        <v>50</v>
      </c>
      <c r="H78" s="77">
        <f>F78/G78</f>
        <v>0.02</v>
      </c>
      <c r="P78" s="78"/>
    </row>
    <row r="79" spans="1:20" x14ac:dyDescent="0.25">
      <c r="D79"/>
      <c r="G79"/>
      <c r="H79"/>
    </row>
    <row r="80" spans="1:20" x14ac:dyDescent="0.25">
      <c r="D80" s="32" t="s">
        <v>1385</v>
      </c>
      <c r="E80" s="32" t="s">
        <v>1386</v>
      </c>
      <c r="F80" s="32" t="s">
        <v>261</v>
      </c>
      <c r="G80" s="32" t="s">
        <v>1414</v>
      </c>
      <c r="H80"/>
    </row>
    <row r="81" spans="2:19" x14ac:dyDescent="0.25">
      <c r="D81">
        <v>30</v>
      </c>
      <c r="E81">
        <v>30</v>
      </c>
      <c r="F81">
        <v>12</v>
      </c>
      <c r="G81" s="30">
        <f>D81*E81*F81</f>
        <v>10800</v>
      </c>
      <c r="H81"/>
    </row>
    <row r="82" spans="2:19" x14ac:dyDescent="0.25">
      <c r="D82">
        <v>100</v>
      </c>
      <c r="E82">
        <v>100</v>
      </c>
      <c r="F82">
        <v>40</v>
      </c>
      <c r="G82" s="30">
        <f>D82*E82*F82</f>
        <v>400000</v>
      </c>
      <c r="H82"/>
    </row>
    <row r="83" spans="2:19" x14ac:dyDescent="0.25">
      <c r="D83">
        <v>1000</v>
      </c>
      <c r="E83">
        <v>100</v>
      </c>
      <c r="F83">
        <v>40</v>
      </c>
      <c r="G83" s="30">
        <f>D83*E83*F83</f>
        <v>4000000</v>
      </c>
      <c r="H83"/>
    </row>
    <row r="84" spans="2:19" x14ac:dyDescent="0.25">
      <c r="D84" s="28"/>
      <c r="G84"/>
      <c r="H84"/>
    </row>
    <row r="85" spans="2:19" ht="45" x14ac:dyDescent="0.25">
      <c r="B85" s="32"/>
      <c r="C85" s="32"/>
      <c r="D85" s="79" t="s">
        <v>1487</v>
      </c>
      <c r="E85" s="32" t="s">
        <v>1488</v>
      </c>
      <c r="F85" s="32" t="s">
        <v>1489</v>
      </c>
      <c r="G85" s="32" t="s">
        <v>1490</v>
      </c>
      <c r="H85" s="32" t="s">
        <v>264</v>
      </c>
      <c r="I85" s="32" t="s">
        <v>1268</v>
      </c>
      <c r="Q85" s="32"/>
      <c r="R85" s="32"/>
      <c r="S85" s="32"/>
    </row>
    <row r="86" spans="2:19" x14ac:dyDescent="0.25">
      <c r="D86" s="28">
        <v>6</v>
      </c>
      <c r="E86" s="30">
        <f>30*30</f>
        <v>900</v>
      </c>
      <c r="F86" s="31">
        <f>E86/(D86*D86)</f>
        <v>25</v>
      </c>
      <c r="G86" s="28">
        <v>0.1</v>
      </c>
      <c r="H86" s="31">
        <f>F86*G86</f>
        <v>2.5</v>
      </c>
    </row>
    <row r="87" spans="2:19" x14ac:dyDescent="0.25">
      <c r="D87" s="28">
        <v>6</v>
      </c>
      <c r="E87" s="30">
        <f>100*100</f>
        <v>10000</v>
      </c>
      <c r="F87" s="30">
        <f>E87/(D87*D87)</f>
        <v>277.77777777777777</v>
      </c>
      <c r="G87" s="28">
        <v>0.1</v>
      </c>
      <c r="H87" s="30">
        <f t="shared" ref="H87:H88" si="39">F87*G87</f>
        <v>27.777777777777779</v>
      </c>
    </row>
    <row r="88" spans="2:19" x14ac:dyDescent="0.25">
      <c r="D88" s="28">
        <v>6</v>
      </c>
      <c r="E88" s="30">
        <f>100*1000</f>
        <v>100000</v>
      </c>
      <c r="F88" s="30">
        <f>E88/(D88*D88)</f>
        <v>2777.7777777777778</v>
      </c>
      <c r="G88" s="28">
        <v>0.1</v>
      </c>
      <c r="H88" s="30">
        <f t="shared" si="39"/>
        <v>277.77777777777777</v>
      </c>
      <c r="I88" t="s">
        <v>1491</v>
      </c>
    </row>
    <row r="89" spans="2:19" x14ac:dyDescent="0.25">
      <c r="D89"/>
      <c r="G89"/>
      <c r="H89"/>
    </row>
    <row r="90" spans="2:19" x14ac:dyDescent="0.25">
      <c r="D90" s="28">
        <v>16</v>
      </c>
      <c r="E90" s="30">
        <f>30*30</f>
        <v>900</v>
      </c>
      <c r="F90" s="31">
        <f>E90/(D90*D90)</f>
        <v>3.515625</v>
      </c>
      <c r="G90" s="28">
        <v>0.1</v>
      </c>
      <c r="H90" s="80">
        <f>F90*G90</f>
        <v>0.3515625</v>
      </c>
    </row>
    <row r="91" spans="2:19" x14ac:dyDescent="0.25">
      <c r="D91" s="28">
        <v>16</v>
      </c>
      <c r="E91" s="30">
        <f>100*100</f>
        <v>10000</v>
      </c>
      <c r="F91" s="30">
        <f>E91/(D91*D91)</f>
        <v>39.0625</v>
      </c>
      <c r="G91" s="28">
        <v>0.1</v>
      </c>
      <c r="H91" s="30">
        <f t="shared" ref="H91:H92" si="40">F91*G91</f>
        <v>3.90625</v>
      </c>
    </row>
    <row r="92" spans="2:19" x14ac:dyDescent="0.25">
      <c r="D92" s="28">
        <v>16</v>
      </c>
      <c r="E92" s="30">
        <f>100*1000</f>
        <v>100000</v>
      </c>
      <c r="F92" s="30">
        <f>E92/(D92*D92)</f>
        <v>390.625</v>
      </c>
      <c r="G92" s="28">
        <v>0.1</v>
      </c>
      <c r="H92" s="30">
        <f t="shared" si="40"/>
        <v>39.0625</v>
      </c>
      <c r="I92" t="s">
        <v>1491</v>
      </c>
    </row>
  </sheetData>
  <pageMargins left="0.7" right="0.7" top="0.75" bottom="0.75" header="0.3" footer="0.3"/>
  <pageSetup orientation="portrait" horizontalDpi="0"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D4CAC-ADF6-4540-915A-A4C9A7D71CCF}">
  <dimension ref="A2:G223"/>
  <sheetViews>
    <sheetView workbookViewId="0"/>
  </sheetViews>
  <sheetFormatPr defaultRowHeight="15.75" x14ac:dyDescent="0.25"/>
  <cols>
    <col min="1" max="1" width="9.140625" style="11"/>
    <col min="2" max="2" width="22.28515625" style="11" bestFit="1" customWidth="1"/>
    <col min="3" max="3" width="8.42578125" style="11" bestFit="1" customWidth="1"/>
    <col min="4" max="4" width="10.85546875" style="11" bestFit="1" customWidth="1"/>
    <col min="5" max="5" width="11.85546875" style="11" bestFit="1" customWidth="1"/>
    <col min="6" max="6" width="14.28515625" style="11" bestFit="1" customWidth="1"/>
    <col min="7" max="7" width="83" style="12" customWidth="1"/>
    <col min="8" max="16384" width="9.140625" style="11"/>
  </cols>
  <sheetData>
    <row r="2" spans="1:7" x14ac:dyDescent="0.25">
      <c r="B2" s="13" t="s">
        <v>237</v>
      </c>
      <c r="E2" s="11" t="s">
        <v>439</v>
      </c>
    </row>
    <row r="4" spans="1:7" ht="15.75" customHeight="1" x14ac:dyDescent="0.25">
      <c r="A4" s="389" t="s">
        <v>8</v>
      </c>
      <c r="B4" s="389" t="s">
        <v>9</v>
      </c>
      <c r="C4" s="387" t="s">
        <v>10</v>
      </c>
      <c r="D4" s="389" t="s">
        <v>11</v>
      </c>
      <c r="E4" s="389" t="s">
        <v>12</v>
      </c>
      <c r="F4" s="389" t="s">
        <v>13</v>
      </c>
      <c r="G4" s="386" t="s">
        <v>14</v>
      </c>
    </row>
    <row r="5" spans="1:7" ht="15.75" customHeight="1" x14ac:dyDescent="0.25">
      <c r="A5" s="389"/>
      <c r="B5" s="389"/>
      <c r="C5" s="388"/>
      <c r="D5" s="389"/>
      <c r="E5" s="389"/>
      <c r="F5" s="389"/>
      <c r="G5" s="386"/>
    </row>
    <row r="6" spans="1:7" x14ac:dyDescent="0.25">
      <c r="A6" s="8"/>
      <c r="B6" s="8" t="s">
        <v>15</v>
      </c>
      <c r="C6" s="9">
        <v>351601</v>
      </c>
      <c r="D6" s="10">
        <v>728</v>
      </c>
      <c r="E6" s="10">
        <v>45.1</v>
      </c>
      <c r="F6" s="9">
        <v>7750747910</v>
      </c>
      <c r="G6" s="7"/>
    </row>
    <row r="7" spans="1:7" x14ac:dyDescent="0.25">
      <c r="A7" s="8"/>
      <c r="B7" s="8"/>
      <c r="C7" s="8"/>
      <c r="D7" s="8"/>
      <c r="E7" s="8"/>
      <c r="F7" s="8"/>
      <c r="G7" s="7"/>
    </row>
    <row r="8" spans="1:7" ht="63" x14ac:dyDescent="0.25">
      <c r="A8" s="8">
        <v>1</v>
      </c>
      <c r="B8" s="8" t="s">
        <v>16</v>
      </c>
      <c r="C8" s="9">
        <v>100545</v>
      </c>
      <c r="D8" s="9">
        <v>5215</v>
      </c>
      <c r="E8" s="10">
        <v>304</v>
      </c>
      <c r="F8" s="9">
        <v>330811717</v>
      </c>
      <c r="G8" s="7" t="s">
        <v>235</v>
      </c>
    </row>
    <row r="9" spans="1:7" x14ac:dyDescent="0.25">
      <c r="A9" s="8">
        <v>2</v>
      </c>
      <c r="B9" s="8" t="s">
        <v>17</v>
      </c>
      <c r="C9" s="9">
        <v>37048</v>
      </c>
      <c r="D9" s="9">
        <v>3909</v>
      </c>
      <c r="E9" s="10">
        <v>546</v>
      </c>
      <c r="F9" s="9">
        <v>67851047</v>
      </c>
      <c r="G9" s="7"/>
    </row>
    <row r="10" spans="1:7" x14ac:dyDescent="0.25">
      <c r="A10" s="8">
        <v>3</v>
      </c>
      <c r="B10" s="8" t="s">
        <v>18</v>
      </c>
      <c r="C10" s="9">
        <v>32955</v>
      </c>
      <c r="D10" s="9">
        <v>3813</v>
      </c>
      <c r="E10" s="10">
        <v>545</v>
      </c>
      <c r="F10" s="9">
        <v>60470230</v>
      </c>
      <c r="G10" s="7"/>
    </row>
    <row r="11" spans="1:7" x14ac:dyDescent="0.25">
      <c r="A11" s="8">
        <v>4</v>
      </c>
      <c r="B11" s="8" t="s">
        <v>19</v>
      </c>
      <c r="C11" s="9">
        <v>28530</v>
      </c>
      <c r="D11" s="9">
        <v>2800</v>
      </c>
      <c r="E11" s="10">
        <v>437</v>
      </c>
      <c r="F11" s="9">
        <v>65259581</v>
      </c>
      <c r="G11" s="7"/>
    </row>
    <row r="12" spans="1:7" x14ac:dyDescent="0.25">
      <c r="A12" s="8">
        <v>5</v>
      </c>
      <c r="B12" s="8" t="s">
        <v>20</v>
      </c>
      <c r="C12" s="9">
        <v>27117</v>
      </c>
      <c r="D12" s="9">
        <v>6060</v>
      </c>
      <c r="E12" s="10">
        <v>580</v>
      </c>
      <c r="F12" s="9">
        <v>46753049</v>
      </c>
      <c r="G12" s="7"/>
    </row>
    <row r="13" spans="1:7" x14ac:dyDescent="0.25">
      <c r="A13" s="8">
        <v>6</v>
      </c>
      <c r="B13" s="8" t="s">
        <v>21</v>
      </c>
      <c r="C13" s="9">
        <v>24512</v>
      </c>
      <c r="D13" s="9">
        <v>1842</v>
      </c>
      <c r="E13" s="10">
        <v>115</v>
      </c>
      <c r="F13" s="9">
        <v>212409786</v>
      </c>
      <c r="G13" s="7"/>
    </row>
    <row r="14" spans="1:7" x14ac:dyDescent="0.25">
      <c r="A14" s="8">
        <v>7</v>
      </c>
      <c r="B14" s="8" t="s">
        <v>22</v>
      </c>
      <c r="C14" s="9">
        <v>9334</v>
      </c>
      <c r="D14" s="9">
        <v>4960</v>
      </c>
      <c r="E14" s="10">
        <v>806</v>
      </c>
      <c r="F14" s="9">
        <v>11584702</v>
      </c>
      <c r="G14" s="7"/>
    </row>
    <row r="15" spans="1:7" x14ac:dyDescent="0.25">
      <c r="A15" s="8">
        <v>8</v>
      </c>
      <c r="B15" s="8" t="s">
        <v>23</v>
      </c>
      <c r="C15" s="9">
        <v>8498</v>
      </c>
      <c r="D15" s="9">
        <v>2164</v>
      </c>
      <c r="E15" s="10">
        <v>101</v>
      </c>
      <c r="F15" s="9">
        <v>83757965</v>
      </c>
      <c r="G15" s="7"/>
    </row>
    <row r="16" spans="1:7" x14ac:dyDescent="0.25">
      <c r="A16" s="8">
        <v>9</v>
      </c>
      <c r="B16" s="8" t="s">
        <v>24</v>
      </c>
      <c r="C16" s="9">
        <v>7633</v>
      </c>
      <c r="D16" s="10">
        <v>552</v>
      </c>
      <c r="E16" s="10">
        <v>59</v>
      </c>
      <c r="F16" s="9">
        <v>128796145</v>
      </c>
      <c r="G16" s="7"/>
    </row>
    <row r="17" spans="1:7" x14ac:dyDescent="0.25">
      <c r="A17" s="8">
        <v>10</v>
      </c>
      <c r="B17" s="8" t="s">
        <v>25</v>
      </c>
      <c r="C17" s="9">
        <v>7508</v>
      </c>
      <c r="D17" s="9">
        <v>1663</v>
      </c>
      <c r="E17" s="10">
        <v>90</v>
      </c>
      <c r="F17" s="9">
        <v>83883203</v>
      </c>
      <c r="G17" s="7"/>
    </row>
    <row r="18" spans="1:7" x14ac:dyDescent="0.25">
      <c r="A18" s="8">
        <v>11</v>
      </c>
      <c r="B18" s="8" t="s">
        <v>26</v>
      </c>
      <c r="C18" s="9">
        <v>6639</v>
      </c>
      <c r="D18" s="9">
        <v>2298</v>
      </c>
      <c r="E18" s="10">
        <v>176</v>
      </c>
      <c r="F18" s="9">
        <v>37709091</v>
      </c>
      <c r="G18" s="7"/>
    </row>
    <row r="19" spans="1:7" x14ac:dyDescent="0.25">
      <c r="A19" s="8">
        <v>12</v>
      </c>
      <c r="B19" s="8" t="s">
        <v>27</v>
      </c>
      <c r="C19" s="9">
        <v>5856</v>
      </c>
      <c r="D19" s="9">
        <v>2661</v>
      </c>
      <c r="E19" s="10">
        <v>342</v>
      </c>
      <c r="F19" s="9">
        <v>17131215</v>
      </c>
      <c r="G19" s="7"/>
    </row>
    <row r="20" spans="1:7" x14ac:dyDescent="0.25">
      <c r="A20" s="8">
        <v>13</v>
      </c>
      <c r="B20" s="8" t="s">
        <v>28</v>
      </c>
      <c r="C20" s="9">
        <v>4634</v>
      </c>
      <c r="D20" s="10">
        <v>58</v>
      </c>
      <c r="E20" s="10">
        <v>3</v>
      </c>
      <c r="F20" s="9">
        <v>1439323776</v>
      </c>
      <c r="G20" s="7"/>
    </row>
    <row r="21" spans="1:7" x14ac:dyDescent="0.25">
      <c r="A21" s="8">
        <v>14</v>
      </c>
      <c r="B21" s="8" t="s">
        <v>29</v>
      </c>
      <c r="C21" s="9">
        <v>4397</v>
      </c>
      <c r="D21" s="9">
        <v>1884</v>
      </c>
      <c r="E21" s="10">
        <v>52</v>
      </c>
      <c r="F21" s="9">
        <v>84247422</v>
      </c>
      <c r="G21" s="7"/>
    </row>
    <row r="22" spans="1:7" x14ac:dyDescent="0.25">
      <c r="A22" s="8">
        <v>15</v>
      </c>
      <c r="B22" s="8" t="s">
        <v>30</v>
      </c>
      <c r="C22" s="9">
        <v>4349</v>
      </c>
      <c r="D22" s="10">
        <v>109</v>
      </c>
      <c r="E22" s="10">
        <v>3</v>
      </c>
      <c r="F22" s="9">
        <v>1378641054</v>
      </c>
      <c r="G22" s="7"/>
    </row>
    <row r="23" spans="1:7" x14ac:dyDescent="0.25">
      <c r="A23" s="8">
        <v>16</v>
      </c>
      <c r="B23" s="8" t="s">
        <v>31</v>
      </c>
      <c r="C23" s="9">
        <v>4125</v>
      </c>
      <c r="D23" s="9">
        <v>3412</v>
      </c>
      <c r="E23" s="10">
        <v>409</v>
      </c>
      <c r="F23" s="9">
        <v>10093058</v>
      </c>
      <c r="G23" s="7"/>
    </row>
    <row r="24" spans="1:7" x14ac:dyDescent="0.25">
      <c r="A24" s="8">
        <v>17</v>
      </c>
      <c r="B24" s="8" t="s">
        <v>32</v>
      </c>
      <c r="C24" s="9">
        <v>3807</v>
      </c>
      <c r="D24" s="9">
        <v>2483</v>
      </c>
      <c r="E24" s="10">
        <v>26</v>
      </c>
      <c r="F24" s="9">
        <v>145928485</v>
      </c>
      <c r="G24" s="7"/>
    </row>
    <row r="25" spans="1:7" x14ac:dyDescent="0.25">
      <c r="A25" s="8">
        <v>18</v>
      </c>
      <c r="B25" s="8" t="s">
        <v>33</v>
      </c>
      <c r="C25" s="9">
        <v>3788</v>
      </c>
      <c r="D25" s="9">
        <v>3941</v>
      </c>
      <c r="E25" s="10">
        <v>115</v>
      </c>
      <c r="F25" s="9">
        <v>32924686</v>
      </c>
      <c r="G25" s="7"/>
    </row>
    <row r="26" spans="1:7" x14ac:dyDescent="0.25">
      <c r="A26" s="8">
        <v>19</v>
      </c>
      <c r="B26" s="8" t="s">
        <v>34</v>
      </c>
      <c r="C26" s="9">
        <v>3203</v>
      </c>
      <c r="D26" s="9">
        <v>2121</v>
      </c>
      <c r="E26" s="10">
        <v>182</v>
      </c>
      <c r="F26" s="9">
        <v>17615358</v>
      </c>
      <c r="G26" s="7"/>
    </row>
    <row r="27" spans="1:7" x14ac:dyDescent="0.25">
      <c r="A27" s="8">
        <v>20</v>
      </c>
      <c r="B27" s="8" t="s">
        <v>35</v>
      </c>
      <c r="C27" s="9">
        <v>1915</v>
      </c>
      <c r="D27" s="9">
        <v>3557</v>
      </c>
      <c r="E27" s="10">
        <v>221</v>
      </c>
      <c r="F27" s="9">
        <v>8648347</v>
      </c>
      <c r="G27" s="7"/>
    </row>
    <row r="28" spans="1:7" x14ac:dyDescent="0.25">
      <c r="A28" s="8">
        <v>21</v>
      </c>
      <c r="B28" s="8" t="s">
        <v>36</v>
      </c>
      <c r="C28" s="9">
        <v>1615</v>
      </c>
      <c r="D28" s="9">
        <v>5015</v>
      </c>
      <c r="E28" s="10">
        <v>327</v>
      </c>
      <c r="F28" s="9">
        <v>4932204</v>
      </c>
      <c r="G28" s="7"/>
    </row>
    <row r="29" spans="1:7" x14ac:dyDescent="0.25">
      <c r="A29" s="8">
        <v>22</v>
      </c>
      <c r="B29" s="8" t="s">
        <v>37</v>
      </c>
      <c r="C29" s="9">
        <v>1418</v>
      </c>
      <c r="D29" s="10">
        <v>85</v>
      </c>
      <c r="E29" s="10">
        <v>5</v>
      </c>
      <c r="F29" s="9">
        <v>273231828</v>
      </c>
      <c r="G29" s="7"/>
    </row>
    <row r="30" spans="1:7" x14ac:dyDescent="0.25">
      <c r="A30" s="8">
        <v>23</v>
      </c>
      <c r="B30" s="8" t="s">
        <v>38</v>
      </c>
      <c r="C30" s="9">
        <v>1342</v>
      </c>
      <c r="D30" s="9">
        <v>3040</v>
      </c>
      <c r="E30" s="10">
        <v>132</v>
      </c>
      <c r="F30" s="9">
        <v>10199497</v>
      </c>
      <c r="G30" s="7"/>
    </row>
    <row r="31" spans="1:7" x14ac:dyDescent="0.25">
      <c r="A31" s="8">
        <v>24</v>
      </c>
      <c r="B31" s="8" t="s">
        <v>39</v>
      </c>
      <c r="C31" s="9">
        <v>1216</v>
      </c>
      <c r="D31" s="10">
        <v>957</v>
      </c>
      <c r="E31" s="10">
        <v>63</v>
      </c>
      <c r="F31" s="9">
        <v>19249480</v>
      </c>
      <c r="G31" s="7"/>
    </row>
    <row r="32" spans="1:7" x14ac:dyDescent="0.25">
      <c r="A32" s="8">
        <v>25</v>
      </c>
      <c r="B32" s="8" t="s">
        <v>40</v>
      </c>
      <c r="C32" s="9">
        <v>1197</v>
      </c>
      <c r="D32" s="10">
        <v>262</v>
      </c>
      <c r="E32" s="10">
        <v>5</v>
      </c>
      <c r="F32" s="9">
        <v>220438956</v>
      </c>
      <c r="G32" s="7"/>
    </row>
    <row r="33" spans="1:7" x14ac:dyDescent="0.25">
      <c r="A33" s="8">
        <v>26</v>
      </c>
      <c r="B33" s="8" t="s">
        <v>41</v>
      </c>
      <c r="C33" s="9">
        <v>1024</v>
      </c>
      <c r="D33" s="10">
        <v>583</v>
      </c>
      <c r="E33" s="10">
        <v>27</v>
      </c>
      <c r="F33" s="9">
        <v>37850537</v>
      </c>
      <c r="G33" s="7"/>
    </row>
    <row r="34" spans="1:7" x14ac:dyDescent="0.25">
      <c r="A34" s="8">
        <v>27</v>
      </c>
      <c r="B34" s="8" t="s">
        <v>42</v>
      </c>
      <c r="C34" s="10">
        <v>886</v>
      </c>
      <c r="D34" s="10">
        <v>134</v>
      </c>
      <c r="E34" s="10">
        <v>8</v>
      </c>
      <c r="F34" s="9">
        <v>109431787</v>
      </c>
      <c r="G34" s="7"/>
    </row>
    <row r="35" spans="1:7" ht="31.5" x14ac:dyDescent="0.25">
      <c r="A35" s="8">
        <v>28</v>
      </c>
      <c r="B35" s="8" t="s">
        <v>43</v>
      </c>
      <c r="C35" s="10">
        <v>846</v>
      </c>
      <c r="D35" s="10">
        <v>131</v>
      </c>
      <c r="E35" s="10">
        <v>7</v>
      </c>
      <c r="F35" s="9">
        <v>126512743</v>
      </c>
      <c r="G35" s="7" t="s">
        <v>236</v>
      </c>
    </row>
    <row r="36" spans="1:7" x14ac:dyDescent="0.25">
      <c r="A36" s="8">
        <v>29</v>
      </c>
      <c r="B36" s="8" t="s">
        <v>44</v>
      </c>
      <c r="C36" s="10">
        <v>806</v>
      </c>
      <c r="D36" s="9">
        <v>4082</v>
      </c>
      <c r="E36" s="10">
        <v>42</v>
      </c>
      <c r="F36" s="9">
        <v>19099822</v>
      </c>
      <c r="G36" s="7"/>
    </row>
    <row r="37" spans="1:7" ht="31.5" x14ac:dyDescent="0.25">
      <c r="A37" s="8">
        <v>30</v>
      </c>
      <c r="B37" s="8" t="s">
        <v>45</v>
      </c>
      <c r="C37" s="10">
        <v>797</v>
      </c>
      <c r="D37" s="10">
        <v>184</v>
      </c>
      <c r="E37" s="10">
        <v>8</v>
      </c>
      <c r="F37" s="9">
        <v>102130974</v>
      </c>
      <c r="G37" s="7" t="s">
        <v>46</v>
      </c>
    </row>
    <row r="38" spans="1:7" x14ac:dyDescent="0.25">
      <c r="A38" s="8">
        <v>31</v>
      </c>
      <c r="B38" s="8" t="s">
        <v>47</v>
      </c>
      <c r="C38" s="10">
        <v>776</v>
      </c>
      <c r="D38" s="10">
        <v>453</v>
      </c>
      <c r="E38" s="10">
        <v>15</v>
      </c>
      <c r="F38" s="9">
        <v>50828154</v>
      </c>
      <c r="G38" s="7"/>
    </row>
    <row r="39" spans="1:7" x14ac:dyDescent="0.25">
      <c r="A39" s="8">
        <v>32</v>
      </c>
      <c r="B39" s="8" t="s">
        <v>48</v>
      </c>
      <c r="C39" s="10">
        <v>644</v>
      </c>
      <c r="D39" s="10">
        <v>493</v>
      </c>
      <c r="E39" s="10">
        <v>15</v>
      </c>
      <c r="F39" s="9">
        <v>43757987</v>
      </c>
      <c r="G39" s="7"/>
    </row>
    <row r="40" spans="1:7" x14ac:dyDescent="0.25">
      <c r="A40" s="8">
        <v>33</v>
      </c>
      <c r="B40" s="8" t="s">
        <v>49</v>
      </c>
      <c r="C40" s="10">
        <v>643</v>
      </c>
      <c r="D40" s="9">
        <v>1839</v>
      </c>
      <c r="E40" s="10">
        <v>71</v>
      </c>
      <c r="F40" s="9">
        <v>9001347</v>
      </c>
      <c r="G40" s="7"/>
    </row>
    <row r="41" spans="1:7" x14ac:dyDescent="0.25">
      <c r="A41" s="8">
        <v>34</v>
      </c>
      <c r="B41" s="8" t="s">
        <v>50</v>
      </c>
      <c r="C41" s="10">
        <v>617</v>
      </c>
      <c r="D41" s="10">
        <v>199</v>
      </c>
      <c r="E41" s="10">
        <v>14</v>
      </c>
      <c r="F41" s="9">
        <v>43767938</v>
      </c>
      <c r="G41" s="7"/>
    </row>
    <row r="42" spans="1:7" x14ac:dyDescent="0.25">
      <c r="A42" s="8">
        <v>35</v>
      </c>
      <c r="B42" s="8" t="s">
        <v>51</v>
      </c>
      <c r="C42" s="10">
        <v>563</v>
      </c>
      <c r="D42" s="9">
        <v>1974</v>
      </c>
      <c r="E42" s="10">
        <v>97</v>
      </c>
      <c r="F42" s="9">
        <v>5790221</v>
      </c>
      <c r="G42" s="7"/>
    </row>
    <row r="43" spans="1:7" x14ac:dyDescent="0.25">
      <c r="A43" s="8">
        <v>36</v>
      </c>
      <c r="B43" s="8" t="s">
        <v>52</v>
      </c>
      <c r="C43" s="10">
        <v>524</v>
      </c>
      <c r="D43" s="10">
        <v>410</v>
      </c>
      <c r="E43" s="10">
        <v>9</v>
      </c>
      <c r="F43" s="9">
        <v>59232433</v>
      </c>
      <c r="G43" s="7"/>
    </row>
    <row r="44" spans="1:7" x14ac:dyDescent="0.25">
      <c r="A44" s="8">
        <v>37</v>
      </c>
      <c r="B44" s="8" t="s">
        <v>53</v>
      </c>
      <c r="C44" s="10">
        <v>522</v>
      </c>
      <c r="D44" s="10">
        <v>223</v>
      </c>
      <c r="E44" s="10">
        <v>3</v>
      </c>
      <c r="F44" s="9">
        <v>164524398</v>
      </c>
      <c r="G44" s="7"/>
    </row>
    <row r="45" spans="1:7" x14ac:dyDescent="0.25">
      <c r="A45" s="8">
        <v>38</v>
      </c>
      <c r="B45" s="8" t="s">
        <v>54</v>
      </c>
      <c r="C45" s="10">
        <v>499</v>
      </c>
      <c r="D45" s="10">
        <v>390</v>
      </c>
      <c r="E45" s="10">
        <v>52</v>
      </c>
      <c r="F45" s="9">
        <v>9662656</v>
      </c>
      <c r="G45" s="7"/>
    </row>
    <row r="46" spans="1:7" x14ac:dyDescent="0.25">
      <c r="A46" s="8">
        <v>39</v>
      </c>
      <c r="B46" s="8" t="s">
        <v>55</v>
      </c>
      <c r="C46" s="10">
        <v>490</v>
      </c>
      <c r="D46" s="10">
        <v>293</v>
      </c>
      <c r="E46" s="10">
        <v>11</v>
      </c>
      <c r="F46" s="9">
        <v>45154246</v>
      </c>
      <c r="G46" s="7"/>
    </row>
    <row r="47" spans="1:7" x14ac:dyDescent="0.25">
      <c r="A47" s="8">
        <v>40</v>
      </c>
      <c r="B47" s="8" t="s">
        <v>56</v>
      </c>
      <c r="C47" s="10">
        <v>468</v>
      </c>
      <c r="D47" s="9">
        <v>1409</v>
      </c>
      <c r="E47" s="10">
        <v>43</v>
      </c>
      <c r="F47" s="9">
        <v>10836968</v>
      </c>
      <c r="G47" s="7"/>
    </row>
    <row r="48" spans="1:7" x14ac:dyDescent="0.25">
      <c r="A48" s="8">
        <v>41</v>
      </c>
      <c r="B48" s="8" t="s">
        <v>57</v>
      </c>
      <c r="C48" s="10">
        <v>411</v>
      </c>
      <c r="D48" s="9">
        <v>2207</v>
      </c>
      <c r="E48" s="10">
        <v>12</v>
      </c>
      <c r="F48" s="9">
        <v>34757706</v>
      </c>
      <c r="G48" s="7"/>
    </row>
    <row r="49" spans="1:7" x14ac:dyDescent="0.25">
      <c r="A49" s="8">
        <v>42</v>
      </c>
      <c r="B49" s="8" t="s">
        <v>58</v>
      </c>
      <c r="C49" s="10">
        <v>317</v>
      </c>
      <c r="D49" s="10">
        <v>845</v>
      </c>
      <c r="E49" s="10">
        <v>30</v>
      </c>
      <c r="F49" s="9">
        <v>10707069</v>
      </c>
      <c r="G49" s="7"/>
    </row>
    <row r="50" spans="1:7" x14ac:dyDescent="0.25">
      <c r="A50" s="8">
        <v>43</v>
      </c>
      <c r="B50" s="8" t="s">
        <v>59</v>
      </c>
      <c r="C50" s="10">
        <v>313</v>
      </c>
      <c r="D50" s="9">
        <v>2657</v>
      </c>
      <c r="E50" s="10">
        <v>73</v>
      </c>
      <c r="F50" s="9">
        <v>4307725</v>
      </c>
      <c r="G50" s="7"/>
    </row>
    <row r="51" spans="1:7" x14ac:dyDescent="0.25">
      <c r="A51" s="8">
        <v>44</v>
      </c>
      <c r="B51" s="8" t="s">
        <v>60</v>
      </c>
      <c r="C51" s="10">
        <v>312</v>
      </c>
      <c r="D51" s="9">
        <v>1196</v>
      </c>
      <c r="E51" s="10">
        <v>56</v>
      </c>
      <c r="F51" s="9">
        <v>5539893</v>
      </c>
      <c r="G51" s="7"/>
    </row>
    <row r="52" spans="1:7" x14ac:dyDescent="0.25">
      <c r="A52" s="8">
        <v>45</v>
      </c>
      <c r="B52" s="8" t="s">
        <v>61</v>
      </c>
      <c r="C52" s="10">
        <v>281</v>
      </c>
      <c r="D52" s="9">
        <v>1822</v>
      </c>
      <c r="E52" s="10">
        <v>31</v>
      </c>
      <c r="F52" s="9">
        <v>9197590</v>
      </c>
      <c r="G52" s="7"/>
    </row>
    <row r="53" spans="1:7" ht="31.5" x14ac:dyDescent="0.25">
      <c r="A53" s="8">
        <v>46</v>
      </c>
      <c r="B53" s="8" t="s">
        <v>62</v>
      </c>
      <c r="C53" s="10">
        <v>269</v>
      </c>
      <c r="D53" s="10">
        <v>219</v>
      </c>
      <c r="E53" s="10">
        <v>5</v>
      </c>
      <c r="F53" s="9">
        <v>51264961</v>
      </c>
      <c r="G53" s="7" t="s">
        <v>63</v>
      </c>
    </row>
    <row r="54" spans="1:7" x14ac:dyDescent="0.25">
      <c r="A54" s="8">
        <v>47</v>
      </c>
      <c r="B54" s="8" t="s">
        <v>64</v>
      </c>
      <c r="C54" s="10">
        <v>267</v>
      </c>
      <c r="D54" s="9">
        <v>1810</v>
      </c>
      <c r="E54" s="10">
        <v>66</v>
      </c>
      <c r="F54" s="9">
        <v>4034845</v>
      </c>
      <c r="G54" s="7"/>
    </row>
    <row r="55" spans="1:7" x14ac:dyDescent="0.25">
      <c r="A55" s="8">
        <v>48</v>
      </c>
      <c r="B55" s="8" t="s">
        <v>65</v>
      </c>
      <c r="C55" s="10">
        <v>261</v>
      </c>
      <c r="D55" s="10">
        <v>571</v>
      </c>
      <c r="E55" s="10">
        <v>22</v>
      </c>
      <c r="F55" s="9">
        <v>11656694</v>
      </c>
      <c r="G55" s="7"/>
    </row>
    <row r="56" spans="1:7" x14ac:dyDescent="0.25">
      <c r="A56" s="8">
        <v>49</v>
      </c>
      <c r="B56" s="8" t="s">
        <v>66</v>
      </c>
      <c r="C56" s="10">
        <v>253</v>
      </c>
      <c r="D56" s="9">
        <v>3147</v>
      </c>
      <c r="E56" s="10">
        <v>26</v>
      </c>
      <c r="F56" s="9">
        <v>9878250</v>
      </c>
      <c r="G56" s="7"/>
    </row>
    <row r="57" spans="1:7" x14ac:dyDescent="0.25">
      <c r="A57" s="8">
        <v>50</v>
      </c>
      <c r="B57" s="8" t="s">
        <v>67</v>
      </c>
      <c r="C57" s="10">
        <v>249</v>
      </c>
      <c r="D57" s="10">
        <v>41</v>
      </c>
      <c r="E57" s="10">
        <v>1</v>
      </c>
      <c r="F57" s="9">
        <v>205584173</v>
      </c>
      <c r="G57" s="7"/>
    </row>
    <row r="58" spans="1:7" x14ac:dyDescent="0.25">
      <c r="A58" s="8">
        <v>51</v>
      </c>
      <c r="B58" s="8" t="s">
        <v>68</v>
      </c>
      <c r="C58" s="10">
        <v>239</v>
      </c>
      <c r="D58" s="9">
        <v>1284</v>
      </c>
      <c r="E58" s="10">
        <v>27</v>
      </c>
      <c r="F58" s="9">
        <v>8740651</v>
      </c>
      <c r="G58" s="7"/>
    </row>
    <row r="59" spans="1:7" x14ac:dyDescent="0.25">
      <c r="A59" s="8">
        <v>52</v>
      </c>
      <c r="B59" s="8" t="s">
        <v>69</v>
      </c>
      <c r="C59" s="10">
        <v>235</v>
      </c>
      <c r="D59" s="9">
        <v>1548</v>
      </c>
      <c r="E59" s="10">
        <v>43</v>
      </c>
      <c r="F59" s="9">
        <v>5417027</v>
      </c>
      <c r="G59" s="7"/>
    </row>
    <row r="60" spans="1:7" x14ac:dyDescent="0.25">
      <c r="A60" s="8">
        <v>53</v>
      </c>
      <c r="B60" s="8" t="s">
        <v>70</v>
      </c>
      <c r="C60" s="10">
        <v>220</v>
      </c>
      <c r="D60" s="10">
        <v>305</v>
      </c>
      <c r="E60" s="10">
        <v>6</v>
      </c>
      <c r="F60" s="9">
        <v>38834157</v>
      </c>
      <c r="G60" s="7"/>
    </row>
    <row r="61" spans="1:7" x14ac:dyDescent="0.25">
      <c r="A61" s="8">
        <v>54</v>
      </c>
      <c r="B61" s="8" t="s">
        <v>71</v>
      </c>
      <c r="C61" s="10">
        <v>208</v>
      </c>
      <c r="D61" s="9">
        <v>4028</v>
      </c>
      <c r="E61" s="10">
        <v>22</v>
      </c>
      <c r="F61" s="9">
        <v>9449619</v>
      </c>
      <c r="G61" s="7"/>
    </row>
    <row r="62" spans="1:7" x14ac:dyDescent="0.25">
      <c r="A62" s="8">
        <v>55</v>
      </c>
      <c r="B62" s="8" t="s">
        <v>72</v>
      </c>
      <c r="C62" s="10">
        <v>202</v>
      </c>
      <c r="D62" s="10">
        <v>206</v>
      </c>
      <c r="E62" s="10">
        <v>5</v>
      </c>
      <c r="F62" s="9">
        <v>36866123</v>
      </c>
      <c r="G62" s="7"/>
    </row>
    <row r="63" spans="1:7" x14ac:dyDescent="0.25">
      <c r="A63" s="8">
        <v>56</v>
      </c>
      <c r="B63" s="8" t="s">
        <v>73</v>
      </c>
      <c r="C63" s="10">
        <v>182</v>
      </c>
      <c r="D63" s="10">
        <v>424</v>
      </c>
      <c r="E63" s="10">
        <v>18</v>
      </c>
      <c r="F63" s="9">
        <v>9888260</v>
      </c>
      <c r="G63" s="7"/>
    </row>
    <row r="64" spans="1:7" x14ac:dyDescent="0.25">
      <c r="A64" s="8">
        <v>57</v>
      </c>
      <c r="B64" s="8" t="s">
        <v>74</v>
      </c>
      <c r="C64" s="10">
        <v>175</v>
      </c>
      <c r="D64" s="10">
        <v>205</v>
      </c>
      <c r="E64" s="10">
        <v>7</v>
      </c>
      <c r="F64" s="9">
        <v>26473989</v>
      </c>
      <c r="G64" s="7"/>
    </row>
    <row r="65" spans="1:7" ht="47.25" x14ac:dyDescent="0.25">
      <c r="A65" s="8">
        <v>58</v>
      </c>
      <c r="B65" s="8" t="s">
        <v>75</v>
      </c>
      <c r="C65" s="10">
        <v>173</v>
      </c>
      <c r="D65" s="10">
        <v>277</v>
      </c>
      <c r="E65" s="10">
        <v>17</v>
      </c>
      <c r="F65" s="9">
        <v>10427777</v>
      </c>
      <c r="G65" s="7" t="s">
        <v>76</v>
      </c>
    </row>
    <row r="66" spans="1:7" x14ac:dyDescent="0.25">
      <c r="A66" s="8">
        <v>59</v>
      </c>
      <c r="B66" s="8" t="s">
        <v>77</v>
      </c>
      <c r="C66" s="10">
        <v>172</v>
      </c>
      <c r="D66" s="9">
        <v>5294</v>
      </c>
      <c r="E66" s="10">
        <v>40</v>
      </c>
      <c r="F66" s="9">
        <v>4264055</v>
      </c>
      <c r="G66" s="7"/>
    </row>
    <row r="67" spans="1:7" x14ac:dyDescent="0.25">
      <c r="A67" s="8">
        <v>60</v>
      </c>
      <c r="B67" s="8" t="s">
        <v>78</v>
      </c>
      <c r="C67" s="10">
        <v>170</v>
      </c>
      <c r="D67" s="10">
        <v>91</v>
      </c>
      <c r="E67" s="10">
        <v>4</v>
      </c>
      <c r="F67" s="9">
        <v>43738792</v>
      </c>
      <c r="G67" s="7"/>
    </row>
    <row r="68" spans="1:7" x14ac:dyDescent="0.25">
      <c r="A68" s="8">
        <v>61</v>
      </c>
      <c r="B68" s="8" t="s">
        <v>79</v>
      </c>
      <c r="C68" s="10">
        <v>169</v>
      </c>
      <c r="D68" s="10">
        <v>121</v>
      </c>
      <c r="E68" s="10">
        <v>4</v>
      </c>
      <c r="F68" s="9">
        <v>40125564</v>
      </c>
      <c r="G68" s="7"/>
    </row>
    <row r="69" spans="1:7" x14ac:dyDescent="0.25">
      <c r="A69" s="8">
        <v>62</v>
      </c>
      <c r="B69" s="8" t="s">
        <v>80</v>
      </c>
      <c r="C69" s="10">
        <v>149</v>
      </c>
      <c r="D69" s="10">
        <v>736</v>
      </c>
      <c r="E69" s="10">
        <v>45</v>
      </c>
      <c r="F69" s="9">
        <v>3282698</v>
      </c>
      <c r="G69" s="7"/>
    </row>
    <row r="70" spans="1:7" x14ac:dyDescent="0.25">
      <c r="A70" s="8">
        <v>63</v>
      </c>
      <c r="B70" s="8" t="s">
        <v>81</v>
      </c>
      <c r="C70" s="10">
        <v>130</v>
      </c>
      <c r="D70" s="10">
        <v>351</v>
      </c>
      <c r="E70" s="10">
        <v>19</v>
      </c>
      <c r="F70" s="9">
        <v>6953227</v>
      </c>
      <c r="G70" s="7"/>
    </row>
    <row r="71" spans="1:7" x14ac:dyDescent="0.25">
      <c r="A71" s="8">
        <v>64</v>
      </c>
      <c r="B71" s="8" t="s">
        <v>82</v>
      </c>
      <c r="C71" s="10">
        <v>116</v>
      </c>
      <c r="D71" s="10">
        <v>967</v>
      </c>
      <c r="E71" s="10">
        <v>56</v>
      </c>
      <c r="F71" s="9">
        <v>2083382</v>
      </c>
      <c r="G71" s="7"/>
    </row>
    <row r="72" spans="1:7" x14ac:dyDescent="0.25">
      <c r="A72" s="8">
        <v>65</v>
      </c>
      <c r="B72" s="8" t="s">
        <v>83</v>
      </c>
      <c r="C72" s="10">
        <v>115</v>
      </c>
      <c r="D72" s="10">
        <v>235</v>
      </c>
      <c r="E72" s="10">
        <v>4</v>
      </c>
      <c r="F72" s="9">
        <v>32323664</v>
      </c>
      <c r="G72" s="7"/>
    </row>
    <row r="73" spans="1:7" x14ac:dyDescent="0.25">
      <c r="A73" s="8">
        <v>66</v>
      </c>
      <c r="B73" s="8" t="s">
        <v>84</v>
      </c>
      <c r="C73" s="10">
        <v>110</v>
      </c>
      <c r="D73" s="9">
        <v>6393</v>
      </c>
      <c r="E73" s="10">
        <v>176</v>
      </c>
      <c r="F73" s="9">
        <v>624919</v>
      </c>
      <c r="G73" s="7"/>
    </row>
    <row r="74" spans="1:7" x14ac:dyDescent="0.25">
      <c r="A74" s="8">
        <v>67</v>
      </c>
      <c r="B74" s="8" t="s">
        <v>85</v>
      </c>
      <c r="C74" s="10">
        <v>108</v>
      </c>
      <c r="D74" s="10">
        <v>707</v>
      </c>
      <c r="E74" s="10">
        <v>52</v>
      </c>
      <c r="F74" s="9">
        <v>2078911</v>
      </c>
      <c r="G74" s="7"/>
    </row>
    <row r="75" spans="1:7" x14ac:dyDescent="0.25">
      <c r="A75" s="8">
        <v>68</v>
      </c>
      <c r="B75" s="8" t="s">
        <v>86</v>
      </c>
      <c r="C75" s="10">
        <v>102</v>
      </c>
      <c r="D75" s="10">
        <v>280</v>
      </c>
      <c r="E75" s="10">
        <v>4</v>
      </c>
      <c r="F75" s="9">
        <v>25469872</v>
      </c>
      <c r="G75" s="7"/>
    </row>
    <row r="76" spans="1:7" x14ac:dyDescent="0.25">
      <c r="A76" s="8">
        <v>69</v>
      </c>
      <c r="B76" s="8" t="s">
        <v>87</v>
      </c>
      <c r="C76" s="10">
        <v>101</v>
      </c>
      <c r="D76" s="10">
        <v>546</v>
      </c>
      <c r="E76" s="10">
        <v>25</v>
      </c>
      <c r="F76" s="9">
        <v>4107599</v>
      </c>
      <c r="G76" s="7"/>
    </row>
    <row r="77" spans="1:7" x14ac:dyDescent="0.25">
      <c r="A77" s="8">
        <v>70</v>
      </c>
      <c r="B77" s="8" t="s">
        <v>88</v>
      </c>
      <c r="C77" s="10">
        <v>91</v>
      </c>
      <c r="D77" s="9">
        <v>2498</v>
      </c>
      <c r="E77" s="10">
        <v>31</v>
      </c>
      <c r="F77" s="9">
        <v>2962710</v>
      </c>
      <c r="G77" s="7"/>
    </row>
    <row r="78" spans="1:7" x14ac:dyDescent="0.25">
      <c r="A78" s="8">
        <v>71</v>
      </c>
      <c r="B78" s="8" t="s">
        <v>89</v>
      </c>
      <c r="C78" s="10">
        <v>82</v>
      </c>
      <c r="D78" s="10">
        <v>173</v>
      </c>
      <c r="E78" s="10">
        <v>7</v>
      </c>
      <c r="F78" s="9">
        <v>11327273</v>
      </c>
      <c r="G78" s="7"/>
    </row>
    <row r="79" spans="1:7" x14ac:dyDescent="0.25">
      <c r="A79" s="8">
        <v>72</v>
      </c>
      <c r="B79" s="8" t="s">
        <v>90</v>
      </c>
      <c r="C79" s="10">
        <v>70</v>
      </c>
      <c r="D79" s="10">
        <v>53</v>
      </c>
      <c r="E79" s="10">
        <v>3</v>
      </c>
      <c r="F79" s="9">
        <v>20186088</v>
      </c>
      <c r="G79" s="7"/>
    </row>
    <row r="80" spans="1:7" x14ac:dyDescent="0.25">
      <c r="A80" s="8">
        <v>73</v>
      </c>
      <c r="B80" s="8" t="s">
        <v>91</v>
      </c>
      <c r="C80" s="10">
        <v>68</v>
      </c>
      <c r="D80" s="10">
        <v>27</v>
      </c>
      <c r="E80" s="10">
        <v>0.8</v>
      </c>
      <c r="F80" s="9">
        <v>89256655</v>
      </c>
      <c r="G80" s="7"/>
    </row>
    <row r="81" spans="1:7" x14ac:dyDescent="0.25">
      <c r="A81" s="8">
        <v>74</v>
      </c>
      <c r="B81" s="8" t="s">
        <v>92</v>
      </c>
      <c r="C81" s="10">
        <v>67</v>
      </c>
      <c r="D81" s="10">
        <v>108</v>
      </c>
      <c r="E81" s="10">
        <v>4</v>
      </c>
      <c r="F81" s="9">
        <v>15844234</v>
      </c>
      <c r="G81" s="7"/>
    </row>
    <row r="82" spans="1:7" x14ac:dyDescent="0.25">
      <c r="A82" s="8">
        <v>75</v>
      </c>
      <c r="B82" s="8" t="s">
        <v>93</v>
      </c>
      <c r="C82" s="10">
        <v>65</v>
      </c>
      <c r="D82" s="9">
        <v>1383</v>
      </c>
      <c r="E82" s="10">
        <v>49</v>
      </c>
      <c r="F82" s="9">
        <v>1326450</v>
      </c>
      <c r="G82" s="7"/>
    </row>
    <row r="83" spans="1:7" x14ac:dyDescent="0.25">
      <c r="A83" s="8">
        <v>76</v>
      </c>
      <c r="B83" s="8" t="s">
        <v>94</v>
      </c>
      <c r="C83" s="10">
        <v>65</v>
      </c>
      <c r="D83" s="10">
        <v>601</v>
      </c>
      <c r="E83" s="10">
        <v>24</v>
      </c>
      <c r="F83" s="9">
        <v>2725640</v>
      </c>
      <c r="G83" s="7"/>
    </row>
    <row r="84" spans="1:7" x14ac:dyDescent="0.25">
      <c r="A84" s="8">
        <v>77</v>
      </c>
      <c r="B84" s="8" t="s">
        <v>95</v>
      </c>
      <c r="C84" s="10">
        <v>63</v>
      </c>
      <c r="D84" s="10">
        <v>39</v>
      </c>
      <c r="E84" s="10">
        <v>3</v>
      </c>
      <c r="F84" s="9">
        <v>24105596</v>
      </c>
      <c r="G84" s="7"/>
    </row>
    <row r="85" spans="1:7" x14ac:dyDescent="0.25">
      <c r="A85" s="8">
        <v>78</v>
      </c>
      <c r="B85" s="8" t="s">
        <v>96</v>
      </c>
      <c r="C85" s="10">
        <v>62</v>
      </c>
      <c r="D85" s="10">
        <v>43</v>
      </c>
      <c r="E85" s="10">
        <v>4</v>
      </c>
      <c r="F85" s="9">
        <v>16373575</v>
      </c>
      <c r="G85" s="7"/>
    </row>
    <row r="86" spans="1:7" x14ac:dyDescent="0.25">
      <c r="A86" s="8">
        <v>79</v>
      </c>
      <c r="B86" s="8" t="s">
        <v>97</v>
      </c>
      <c r="C86" s="10">
        <v>59</v>
      </c>
      <c r="D86" s="10">
        <v>210</v>
      </c>
      <c r="E86" s="10">
        <v>3</v>
      </c>
      <c r="F86" s="9">
        <v>17880705</v>
      </c>
      <c r="G86" s="7"/>
    </row>
    <row r="87" spans="1:7" x14ac:dyDescent="0.25">
      <c r="A87" s="8">
        <v>80</v>
      </c>
      <c r="B87" s="8" t="s">
        <v>98</v>
      </c>
      <c r="C87" s="10">
        <v>57</v>
      </c>
      <c r="D87" s="10">
        <v>44</v>
      </c>
      <c r="E87" s="10">
        <v>0.8</v>
      </c>
      <c r="F87" s="9">
        <v>69783058</v>
      </c>
      <c r="G87" s="7"/>
    </row>
    <row r="88" spans="1:7" x14ac:dyDescent="0.25">
      <c r="A88" s="8">
        <v>81</v>
      </c>
      <c r="B88" s="8" t="s">
        <v>99</v>
      </c>
      <c r="C88" s="10">
        <v>52</v>
      </c>
      <c r="D88" s="10">
        <v>435</v>
      </c>
      <c r="E88" s="10">
        <v>5</v>
      </c>
      <c r="F88" s="9">
        <v>10130034</v>
      </c>
      <c r="G88" s="7"/>
    </row>
    <row r="89" spans="1:7" x14ac:dyDescent="0.25">
      <c r="A89" s="8">
        <v>82</v>
      </c>
      <c r="B89" s="8" t="s">
        <v>100</v>
      </c>
      <c r="C89" s="10">
        <v>52</v>
      </c>
      <c r="D89" s="10">
        <v>25</v>
      </c>
      <c r="E89" s="10">
        <v>1</v>
      </c>
      <c r="F89" s="9">
        <v>53644375</v>
      </c>
      <c r="G89" s="7"/>
    </row>
    <row r="90" spans="1:7" x14ac:dyDescent="0.25">
      <c r="A90" s="8">
        <v>83</v>
      </c>
      <c r="B90" s="8" t="s">
        <v>101</v>
      </c>
      <c r="C90" s="10">
        <v>52</v>
      </c>
      <c r="D90" s="10">
        <v>40</v>
      </c>
      <c r="E90" s="10">
        <v>2</v>
      </c>
      <c r="F90" s="9">
        <v>20840103</v>
      </c>
      <c r="G90" s="7"/>
    </row>
    <row r="91" spans="1:7" x14ac:dyDescent="0.25">
      <c r="A91" s="8">
        <v>84</v>
      </c>
      <c r="B91" s="8" t="s">
        <v>102</v>
      </c>
      <c r="C91" s="10">
        <v>51</v>
      </c>
      <c r="D91" s="9">
        <v>9877</v>
      </c>
      <c r="E91" s="10">
        <v>660</v>
      </c>
      <c r="F91" s="9">
        <v>77253</v>
      </c>
      <c r="G91" s="7"/>
    </row>
    <row r="92" spans="1:7" x14ac:dyDescent="0.25">
      <c r="A92" s="8">
        <v>85</v>
      </c>
      <c r="B92" s="8" t="s">
        <v>103</v>
      </c>
      <c r="C92" s="10">
        <v>49</v>
      </c>
      <c r="D92" s="10">
        <v>8</v>
      </c>
      <c r="E92" s="10">
        <v>2</v>
      </c>
      <c r="F92" s="9">
        <v>29755574</v>
      </c>
      <c r="G92" s="7"/>
    </row>
    <row r="93" spans="1:7" x14ac:dyDescent="0.25">
      <c r="A93" s="8">
        <v>86</v>
      </c>
      <c r="B93" s="8" t="s">
        <v>104</v>
      </c>
      <c r="C93" s="10">
        <v>48</v>
      </c>
      <c r="D93" s="10">
        <v>89</v>
      </c>
      <c r="E93" s="10">
        <v>4</v>
      </c>
      <c r="F93" s="9">
        <v>11806151</v>
      </c>
      <c r="G93" s="7"/>
    </row>
    <row r="94" spans="1:7" x14ac:dyDescent="0.25">
      <c r="A94" s="8">
        <v>87</v>
      </c>
      <c r="B94" s="8" t="s">
        <v>105</v>
      </c>
      <c r="C94" s="10">
        <v>47</v>
      </c>
      <c r="D94" s="10">
        <v>343</v>
      </c>
      <c r="E94" s="10">
        <v>5</v>
      </c>
      <c r="F94" s="9">
        <v>9514637</v>
      </c>
      <c r="G94" s="7"/>
    </row>
    <row r="95" spans="1:7" x14ac:dyDescent="0.25">
      <c r="A95" s="8">
        <v>88</v>
      </c>
      <c r="B95" s="8" t="s">
        <v>106</v>
      </c>
      <c r="C95" s="10">
        <v>45</v>
      </c>
      <c r="D95" s="9">
        <v>3218</v>
      </c>
      <c r="E95" s="10">
        <v>259</v>
      </c>
      <c r="F95" s="9">
        <v>173702</v>
      </c>
      <c r="G95" s="7"/>
    </row>
    <row r="96" spans="1:7" x14ac:dyDescent="0.25">
      <c r="A96" s="8">
        <v>89</v>
      </c>
      <c r="B96" s="8" t="s">
        <v>107</v>
      </c>
      <c r="C96" s="10">
        <v>44</v>
      </c>
      <c r="D96" s="10">
        <v>95</v>
      </c>
      <c r="E96" s="10">
        <v>6</v>
      </c>
      <c r="F96" s="9">
        <v>7959753</v>
      </c>
      <c r="G96" s="7"/>
    </row>
    <row r="97" spans="1:7" x14ac:dyDescent="0.25">
      <c r="A97" s="8">
        <v>90</v>
      </c>
      <c r="B97" s="8" t="s">
        <v>108</v>
      </c>
      <c r="C97" s="10">
        <v>42</v>
      </c>
      <c r="D97" s="9">
        <v>19632</v>
      </c>
      <c r="E97" s="9">
        <v>1238</v>
      </c>
      <c r="F97" s="9">
        <v>33924</v>
      </c>
      <c r="G97" s="7"/>
    </row>
    <row r="98" spans="1:7" x14ac:dyDescent="0.25">
      <c r="A98" s="8">
        <v>91</v>
      </c>
      <c r="B98" s="8" t="s">
        <v>109</v>
      </c>
      <c r="C98" s="10">
        <v>37</v>
      </c>
      <c r="D98" s="10">
        <v>478</v>
      </c>
      <c r="E98" s="10">
        <v>2</v>
      </c>
      <c r="F98" s="9">
        <v>18753881</v>
      </c>
      <c r="G98" s="7"/>
    </row>
    <row r="99" spans="1:7" x14ac:dyDescent="0.25">
      <c r="A99" s="8">
        <v>92</v>
      </c>
      <c r="B99" s="8" t="s">
        <v>110</v>
      </c>
      <c r="C99" s="10">
        <v>37</v>
      </c>
      <c r="D99" s="9">
        <v>1594</v>
      </c>
      <c r="E99" s="10">
        <v>7</v>
      </c>
      <c r="F99" s="9">
        <v>5092460</v>
      </c>
      <c r="G99" s="7"/>
    </row>
    <row r="100" spans="1:7" x14ac:dyDescent="0.25">
      <c r="A100" s="8">
        <v>93</v>
      </c>
      <c r="B100" s="8" t="s">
        <v>111</v>
      </c>
      <c r="C100" s="10">
        <v>36</v>
      </c>
      <c r="D100" s="10">
        <v>189</v>
      </c>
      <c r="E100" s="10">
        <v>2</v>
      </c>
      <c r="F100" s="9">
        <v>16695568</v>
      </c>
      <c r="G100" s="7"/>
    </row>
    <row r="101" spans="1:7" x14ac:dyDescent="0.25">
      <c r="A101" s="8">
        <v>94</v>
      </c>
      <c r="B101" s="8" t="s">
        <v>112</v>
      </c>
      <c r="C101" s="10">
        <v>36</v>
      </c>
      <c r="D101" s="10">
        <v>315</v>
      </c>
      <c r="E101" s="10">
        <v>6</v>
      </c>
      <c r="F101" s="9">
        <v>6483000</v>
      </c>
      <c r="G101" s="7"/>
    </row>
    <row r="102" spans="1:7" x14ac:dyDescent="0.25">
      <c r="A102" s="8">
        <v>95</v>
      </c>
      <c r="B102" s="8" t="s">
        <v>113</v>
      </c>
      <c r="C102" s="10">
        <v>35</v>
      </c>
      <c r="D102" s="10">
        <v>115</v>
      </c>
      <c r="E102" s="10">
        <v>5</v>
      </c>
      <c r="F102" s="9">
        <v>6616547</v>
      </c>
      <c r="G102" s="7"/>
    </row>
    <row r="103" spans="1:7" x14ac:dyDescent="0.25">
      <c r="A103" s="8">
        <v>96</v>
      </c>
      <c r="B103" s="8" t="s">
        <v>114</v>
      </c>
      <c r="C103" s="10">
        <v>34</v>
      </c>
      <c r="D103" s="10">
        <v>230</v>
      </c>
      <c r="E103" s="10">
        <v>1</v>
      </c>
      <c r="F103" s="9">
        <v>31003853</v>
      </c>
      <c r="G103" s="7"/>
    </row>
    <row r="104" spans="1:7" x14ac:dyDescent="0.25">
      <c r="A104" s="8">
        <v>97</v>
      </c>
      <c r="B104" s="8" t="s">
        <v>115</v>
      </c>
      <c r="C104" s="10">
        <v>33</v>
      </c>
      <c r="D104" s="10">
        <v>358</v>
      </c>
      <c r="E104" s="10">
        <v>11</v>
      </c>
      <c r="F104" s="9">
        <v>2878095</v>
      </c>
      <c r="G104" s="7"/>
    </row>
    <row r="105" spans="1:7" x14ac:dyDescent="0.25">
      <c r="A105" s="8">
        <v>98</v>
      </c>
      <c r="B105" s="8" t="s">
        <v>116</v>
      </c>
      <c r="C105" s="10">
        <v>31</v>
      </c>
      <c r="D105" s="10">
        <v>93</v>
      </c>
      <c r="E105" s="10">
        <v>3</v>
      </c>
      <c r="F105" s="9">
        <v>11388384</v>
      </c>
      <c r="G105" s="7"/>
    </row>
    <row r="106" spans="1:7" x14ac:dyDescent="0.25">
      <c r="A106" s="8">
        <v>99</v>
      </c>
      <c r="B106" s="8" t="s">
        <v>117</v>
      </c>
      <c r="C106" s="10">
        <v>30</v>
      </c>
      <c r="D106" s="10">
        <v>94</v>
      </c>
      <c r="E106" s="10">
        <v>1</v>
      </c>
      <c r="F106" s="9">
        <v>26307273</v>
      </c>
      <c r="G106" s="7"/>
    </row>
    <row r="107" spans="1:7" x14ac:dyDescent="0.25">
      <c r="A107" s="8">
        <v>100</v>
      </c>
      <c r="B107" s="8" t="s">
        <v>118</v>
      </c>
      <c r="C107" s="10">
        <v>28</v>
      </c>
      <c r="D107" s="9">
        <v>16414</v>
      </c>
      <c r="E107" s="10">
        <v>10</v>
      </c>
      <c r="F107" s="9">
        <v>2875978</v>
      </c>
      <c r="G107" s="7"/>
    </row>
    <row r="108" spans="1:7" x14ac:dyDescent="0.25">
      <c r="A108" s="8">
        <v>101</v>
      </c>
      <c r="B108" s="8" t="s">
        <v>119</v>
      </c>
      <c r="C108" s="10">
        <v>28</v>
      </c>
      <c r="D108" s="10">
        <v>277</v>
      </c>
      <c r="E108" s="10">
        <v>5</v>
      </c>
      <c r="F108" s="9">
        <v>5459389</v>
      </c>
      <c r="G108" s="7"/>
    </row>
    <row r="109" spans="1:7" x14ac:dyDescent="0.25">
      <c r="A109" s="8">
        <v>102</v>
      </c>
      <c r="B109" s="8" t="s">
        <v>120</v>
      </c>
      <c r="C109" s="10">
        <v>26</v>
      </c>
      <c r="D109" s="10">
        <v>167</v>
      </c>
      <c r="E109" s="10">
        <v>4</v>
      </c>
      <c r="F109" s="9">
        <v>6828287</v>
      </c>
      <c r="G109" s="7"/>
    </row>
    <row r="110" spans="1:7" x14ac:dyDescent="0.25">
      <c r="A110" s="8">
        <v>103</v>
      </c>
      <c r="B110" s="8" t="s">
        <v>121</v>
      </c>
      <c r="C110" s="10">
        <v>26</v>
      </c>
      <c r="D110" s="10">
        <v>53</v>
      </c>
      <c r="E110" s="10">
        <v>5</v>
      </c>
      <c r="F110" s="9">
        <v>5044844</v>
      </c>
      <c r="G110" s="7"/>
    </row>
    <row r="111" spans="1:7" x14ac:dyDescent="0.25">
      <c r="A111" s="8">
        <v>104</v>
      </c>
      <c r="B111" s="8" t="s">
        <v>122</v>
      </c>
      <c r="C111" s="10">
        <v>24</v>
      </c>
      <c r="D111" s="9">
        <v>3953</v>
      </c>
      <c r="E111" s="10">
        <v>282</v>
      </c>
      <c r="F111" s="9">
        <v>84989</v>
      </c>
      <c r="G111" s="7"/>
    </row>
    <row r="112" spans="1:7" x14ac:dyDescent="0.25">
      <c r="A112" s="8">
        <v>105</v>
      </c>
      <c r="B112" s="8" t="s">
        <v>123</v>
      </c>
      <c r="C112" s="10">
        <v>23</v>
      </c>
      <c r="D112" s="9">
        <v>5533</v>
      </c>
      <c r="E112" s="10">
        <v>4</v>
      </c>
      <c r="F112" s="9">
        <v>5845767</v>
      </c>
      <c r="G112" s="7"/>
    </row>
    <row r="113" spans="1:7" x14ac:dyDescent="0.25">
      <c r="A113" s="8">
        <v>106</v>
      </c>
      <c r="B113" s="8" t="s">
        <v>124</v>
      </c>
      <c r="C113" s="10">
        <v>22</v>
      </c>
      <c r="D113" s="10">
        <v>558</v>
      </c>
      <c r="E113" s="10">
        <v>12</v>
      </c>
      <c r="F113" s="9">
        <v>1888068</v>
      </c>
      <c r="G113" s="7"/>
    </row>
    <row r="114" spans="1:7" x14ac:dyDescent="0.25">
      <c r="A114" s="8">
        <v>107</v>
      </c>
      <c r="B114" s="8" t="s">
        <v>125</v>
      </c>
      <c r="C114" s="10">
        <v>22</v>
      </c>
      <c r="D114" s="10">
        <v>227</v>
      </c>
      <c r="E114" s="10">
        <v>6</v>
      </c>
      <c r="F114" s="9">
        <v>3472561</v>
      </c>
      <c r="G114" s="7"/>
    </row>
    <row r="115" spans="1:7" x14ac:dyDescent="0.25">
      <c r="A115" s="8">
        <v>108</v>
      </c>
      <c r="B115" s="8" t="s">
        <v>126</v>
      </c>
      <c r="C115" s="10">
        <v>21</v>
      </c>
      <c r="D115" s="10">
        <v>312</v>
      </c>
      <c r="E115" s="10">
        <v>4</v>
      </c>
      <c r="F115" s="9">
        <v>4818333</v>
      </c>
      <c r="G115" s="7"/>
    </row>
    <row r="116" spans="1:7" x14ac:dyDescent="0.25">
      <c r="A116" s="8">
        <v>109</v>
      </c>
      <c r="B116" s="8" t="s">
        <v>127</v>
      </c>
      <c r="C116" s="10">
        <v>21</v>
      </c>
      <c r="D116" s="10">
        <v>9</v>
      </c>
      <c r="E116" s="10">
        <v>0.4</v>
      </c>
      <c r="F116" s="9">
        <v>59545671</v>
      </c>
      <c r="G116" s="7"/>
    </row>
    <row r="117" spans="1:7" x14ac:dyDescent="0.25">
      <c r="A117" s="8">
        <v>110</v>
      </c>
      <c r="B117" s="8" t="s">
        <v>128</v>
      </c>
      <c r="C117" s="10">
        <v>20</v>
      </c>
      <c r="D117" s="10">
        <v>250</v>
      </c>
      <c r="E117" s="10">
        <v>2</v>
      </c>
      <c r="F117" s="9">
        <v>13093597</v>
      </c>
      <c r="G117" s="7"/>
    </row>
    <row r="118" spans="1:7" x14ac:dyDescent="0.25">
      <c r="A118" s="8">
        <v>111</v>
      </c>
      <c r="B118" s="8" t="s">
        <v>129</v>
      </c>
      <c r="C118" s="10">
        <v>20</v>
      </c>
      <c r="D118" s="9">
        <v>6005</v>
      </c>
      <c r="E118" s="10">
        <v>74</v>
      </c>
      <c r="F118" s="9">
        <v>272102</v>
      </c>
      <c r="G118" s="7"/>
    </row>
    <row r="119" spans="1:7" x14ac:dyDescent="0.25">
      <c r="A119" s="8">
        <v>112</v>
      </c>
      <c r="B119" s="8" t="s">
        <v>130</v>
      </c>
      <c r="C119" s="10">
        <v>17</v>
      </c>
      <c r="D119" s="10">
        <v>778</v>
      </c>
      <c r="E119" s="10">
        <v>14</v>
      </c>
      <c r="F119" s="9">
        <v>1206488</v>
      </c>
      <c r="G119" s="7"/>
    </row>
    <row r="120" spans="1:7" x14ac:dyDescent="0.25">
      <c r="A120" s="8">
        <v>113</v>
      </c>
      <c r="B120" s="8" t="s">
        <v>131</v>
      </c>
      <c r="C120" s="10">
        <v>16</v>
      </c>
      <c r="D120" s="10">
        <v>225</v>
      </c>
      <c r="E120" s="10">
        <v>2</v>
      </c>
      <c r="F120" s="9">
        <v>6512990</v>
      </c>
      <c r="G120" s="7"/>
    </row>
    <row r="121" spans="1:7" x14ac:dyDescent="0.25">
      <c r="A121" s="8">
        <v>114</v>
      </c>
      <c r="B121" s="8" t="s">
        <v>132</v>
      </c>
      <c r="C121" s="10">
        <v>16</v>
      </c>
      <c r="D121" s="10">
        <v>88</v>
      </c>
      <c r="E121" s="10">
        <v>3</v>
      </c>
      <c r="F121" s="9">
        <v>5503335</v>
      </c>
      <c r="G121" s="7"/>
    </row>
    <row r="122" spans="1:7" x14ac:dyDescent="0.25">
      <c r="A122" s="8">
        <v>115</v>
      </c>
      <c r="B122" s="8" t="s">
        <v>133</v>
      </c>
      <c r="C122" s="10">
        <v>15</v>
      </c>
      <c r="D122" s="9">
        <v>1798</v>
      </c>
      <c r="E122" s="10">
        <v>350</v>
      </c>
      <c r="F122" s="9">
        <v>42827</v>
      </c>
      <c r="G122" s="7"/>
    </row>
    <row r="123" spans="1:7" x14ac:dyDescent="0.25">
      <c r="A123" s="8">
        <v>116</v>
      </c>
      <c r="B123" s="8" t="s">
        <v>134</v>
      </c>
      <c r="C123" s="10">
        <v>14</v>
      </c>
      <c r="D123" s="9">
        <v>5526</v>
      </c>
      <c r="E123" s="10">
        <v>8</v>
      </c>
      <c r="F123" s="9">
        <v>1694805</v>
      </c>
      <c r="G123" s="7"/>
    </row>
    <row r="124" spans="1:7" x14ac:dyDescent="0.25">
      <c r="A124" s="8">
        <v>117</v>
      </c>
      <c r="B124" s="8" t="s">
        <v>135</v>
      </c>
      <c r="C124" s="10">
        <v>14</v>
      </c>
      <c r="D124" s="10">
        <v>98</v>
      </c>
      <c r="E124" s="10">
        <v>0.4</v>
      </c>
      <c r="F124" s="9">
        <v>33419241</v>
      </c>
      <c r="G124" s="7"/>
    </row>
    <row r="125" spans="1:7" x14ac:dyDescent="0.25">
      <c r="A125" s="8">
        <v>118</v>
      </c>
      <c r="B125" s="8" t="s">
        <v>136</v>
      </c>
      <c r="C125" s="10">
        <v>14</v>
      </c>
      <c r="D125" s="9">
        <v>2502</v>
      </c>
      <c r="E125" s="10">
        <v>14</v>
      </c>
      <c r="F125" s="9">
        <v>986520</v>
      </c>
      <c r="G125" s="7"/>
    </row>
    <row r="126" spans="1:7" x14ac:dyDescent="0.25">
      <c r="A126" s="8">
        <v>119</v>
      </c>
      <c r="B126" s="8" t="s">
        <v>137</v>
      </c>
      <c r="C126" s="10">
        <v>14</v>
      </c>
      <c r="D126" s="9">
        <v>1008</v>
      </c>
      <c r="E126" s="10">
        <v>6</v>
      </c>
      <c r="F126" s="9">
        <v>2220060</v>
      </c>
      <c r="G126" s="7"/>
    </row>
    <row r="127" spans="1:7" x14ac:dyDescent="0.25">
      <c r="A127" s="8">
        <v>120</v>
      </c>
      <c r="B127" s="8" t="s">
        <v>138</v>
      </c>
      <c r="C127" s="10">
        <v>14</v>
      </c>
      <c r="D127" s="10">
        <v>525</v>
      </c>
      <c r="E127" s="10">
        <v>37</v>
      </c>
      <c r="F127" s="9">
        <v>375293</v>
      </c>
      <c r="G127" s="7"/>
    </row>
    <row r="128" spans="1:7" x14ac:dyDescent="0.25">
      <c r="A128" s="8">
        <v>121</v>
      </c>
      <c r="B128" s="8" t="s">
        <v>139</v>
      </c>
      <c r="C128" s="10">
        <v>14</v>
      </c>
      <c r="D128" s="10">
        <v>402</v>
      </c>
      <c r="E128" s="10">
        <v>35</v>
      </c>
      <c r="F128" s="9">
        <v>400117</v>
      </c>
      <c r="G128" s="7"/>
    </row>
    <row r="129" spans="1:7" x14ac:dyDescent="0.25">
      <c r="A129" s="8">
        <v>122</v>
      </c>
      <c r="B129" s="8" t="s">
        <v>140</v>
      </c>
      <c r="C129" s="10">
        <v>13</v>
      </c>
      <c r="D129" s="8"/>
      <c r="E129" s="8"/>
      <c r="F129" s="10">
        <v>0</v>
      </c>
      <c r="G129" s="7"/>
    </row>
    <row r="130" spans="1:7" x14ac:dyDescent="0.25">
      <c r="A130" s="8">
        <v>123</v>
      </c>
      <c r="B130" s="8" t="s">
        <v>141</v>
      </c>
      <c r="C130" s="10">
        <v>13</v>
      </c>
      <c r="D130" s="10">
        <v>47</v>
      </c>
      <c r="E130" s="10">
        <v>2</v>
      </c>
      <c r="F130" s="9">
        <v>8257779</v>
      </c>
      <c r="G130" s="7"/>
    </row>
    <row r="131" spans="1:7" x14ac:dyDescent="0.25">
      <c r="A131" s="8">
        <v>124</v>
      </c>
      <c r="B131" s="8" t="s">
        <v>142</v>
      </c>
      <c r="C131" s="10">
        <v>13</v>
      </c>
      <c r="D131" s="10">
        <v>58</v>
      </c>
      <c r="E131" s="10">
        <v>3</v>
      </c>
      <c r="F131" s="9">
        <v>4636268</v>
      </c>
      <c r="G131" s="7"/>
    </row>
    <row r="132" spans="1:7" x14ac:dyDescent="0.25">
      <c r="A132" s="8">
        <v>125</v>
      </c>
      <c r="B132" s="8" t="s">
        <v>143</v>
      </c>
      <c r="C132" s="10">
        <v>12</v>
      </c>
      <c r="D132" s="10">
        <v>746</v>
      </c>
      <c r="E132" s="10">
        <v>9</v>
      </c>
      <c r="F132" s="9">
        <v>1397760</v>
      </c>
      <c r="G132" s="7"/>
    </row>
    <row r="133" spans="1:7" x14ac:dyDescent="0.25">
      <c r="A133" s="8">
        <v>126</v>
      </c>
      <c r="B133" s="8" t="s">
        <v>144</v>
      </c>
      <c r="C133" s="10">
        <v>12</v>
      </c>
      <c r="D133" s="10">
        <v>183</v>
      </c>
      <c r="E133" s="10">
        <v>3</v>
      </c>
      <c r="F133" s="9">
        <v>3989889</v>
      </c>
      <c r="G133" s="7"/>
    </row>
    <row r="134" spans="1:7" x14ac:dyDescent="0.25">
      <c r="A134" s="8">
        <v>127</v>
      </c>
      <c r="B134" s="8" t="s">
        <v>145</v>
      </c>
      <c r="C134" s="10">
        <v>12</v>
      </c>
      <c r="D134" s="9">
        <v>2016</v>
      </c>
      <c r="E134" s="10">
        <v>55</v>
      </c>
      <c r="F134" s="9">
        <v>218731</v>
      </c>
      <c r="G134" s="7"/>
    </row>
    <row r="135" spans="1:7" x14ac:dyDescent="0.25">
      <c r="A135" s="8">
        <v>128</v>
      </c>
      <c r="B135" s="8" t="s">
        <v>146</v>
      </c>
      <c r="C135" s="10">
        <v>11</v>
      </c>
      <c r="D135" s="10">
        <v>43</v>
      </c>
      <c r="E135" s="10">
        <v>0.4</v>
      </c>
      <c r="F135" s="9">
        <v>28443500</v>
      </c>
      <c r="G135" s="7"/>
    </row>
    <row r="136" spans="1:7" x14ac:dyDescent="0.25">
      <c r="A136" s="8">
        <v>129</v>
      </c>
      <c r="B136" s="8" t="s">
        <v>147</v>
      </c>
      <c r="C136" s="10">
        <v>11</v>
      </c>
      <c r="D136" s="10">
        <v>123</v>
      </c>
      <c r="E136" s="10">
        <v>2</v>
      </c>
      <c r="F136" s="9">
        <v>7123619</v>
      </c>
      <c r="G136" s="7"/>
    </row>
    <row r="137" spans="1:7" x14ac:dyDescent="0.25">
      <c r="A137" s="8">
        <v>130</v>
      </c>
      <c r="B137" s="8" t="s">
        <v>148</v>
      </c>
      <c r="C137" s="10">
        <v>11</v>
      </c>
      <c r="D137" s="10">
        <v>177</v>
      </c>
      <c r="E137" s="10">
        <v>14</v>
      </c>
      <c r="F137" s="9">
        <v>786181</v>
      </c>
      <c r="G137" s="7"/>
    </row>
    <row r="138" spans="1:7" x14ac:dyDescent="0.25">
      <c r="A138" s="8">
        <v>131</v>
      </c>
      <c r="B138" s="8" t="s">
        <v>149</v>
      </c>
      <c r="C138" s="10">
        <v>11</v>
      </c>
      <c r="D138" s="10">
        <v>255</v>
      </c>
      <c r="E138" s="10">
        <v>28</v>
      </c>
      <c r="F138" s="9">
        <v>392867</v>
      </c>
      <c r="G138" s="7"/>
    </row>
    <row r="139" spans="1:7" x14ac:dyDescent="0.25">
      <c r="A139" s="8">
        <v>132</v>
      </c>
      <c r="B139" s="8" t="s">
        <v>150</v>
      </c>
      <c r="C139" s="10">
        <v>10</v>
      </c>
      <c r="D139" s="9">
        <v>5290</v>
      </c>
      <c r="E139" s="10">
        <v>29</v>
      </c>
      <c r="F139" s="9">
        <v>341024</v>
      </c>
      <c r="G139" s="7"/>
    </row>
    <row r="140" spans="1:7" x14ac:dyDescent="0.25">
      <c r="A140" s="8">
        <v>133</v>
      </c>
      <c r="B140" s="8" t="s">
        <v>151</v>
      </c>
      <c r="C140" s="10">
        <v>10</v>
      </c>
      <c r="D140" s="10">
        <v>62</v>
      </c>
      <c r="E140" s="10">
        <v>0.5</v>
      </c>
      <c r="F140" s="9">
        <v>21404496</v>
      </c>
      <c r="G140" s="7"/>
    </row>
    <row r="141" spans="1:7" x14ac:dyDescent="0.25">
      <c r="A141" s="8">
        <v>134</v>
      </c>
      <c r="B141" s="8" t="s">
        <v>152</v>
      </c>
      <c r="C141" s="10">
        <v>10</v>
      </c>
      <c r="D141" s="10">
        <v>188</v>
      </c>
      <c r="E141" s="10">
        <v>2</v>
      </c>
      <c r="F141" s="9">
        <v>5089461</v>
      </c>
      <c r="G141" s="7"/>
    </row>
    <row r="142" spans="1:7" x14ac:dyDescent="0.25">
      <c r="A142" s="8">
        <v>135</v>
      </c>
      <c r="B142" s="8" t="s">
        <v>153</v>
      </c>
      <c r="C142" s="10">
        <v>10</v>
      </c>
      <c r="D142" s="10">
        <v>263</v>
      </c>
      <c r="E142" s="10">
        <v>8</v>
      </c>
      <c r="F142" s="9">
        <v>1271565</v>
      </c>
      <c r="G142" s="7"/>
    </row>
    <row r="143" spans="1:7" x14ac:dyDescent="0.25">
      <c r="A143" s="8">
        <v>136</v>
      </c>
      <c r="B143" s="8" t="s">
        <v>154</v>
      </c>
      <c r="C143" s="10">
        <v>9</v>
      </c>
      <c r="D143" s="10">
        <v>70</v>
      </c>
      <c r="E143" s="10">
        <v>0.9</v>
      </c>
      <c r="F143" s="9">
        <v>10192951</v>
      </c>
      <c r="G143" s="7"/>
    </row>
    <row r="144" spans="1:7" x14ac:dyDescent="0.25">
      <c r="A144" s="8">
        <v>137</v>
      </c>
      <c r="B144" s="8" t="s">
        <v>155</v>
      </c>
      <c r="C144" s="10">
        <v>9</v>
      </c>
      <c r="D144" s="10">
        <v>188</v>
      </c>
      <c r="E144" s="10">
        <v>3</v>
      </c>
      <c r="F144" s="9">
        <v>2959906</v>
      </c>
      <c r="G144" s="7"/>
    </row>
    <row r="145" spans="1:7" x14ac:dyDescent="0.25">
      <c r="A145" s="8">
        <v>138</v>
      </c>
      <c r="B145" s="8" t="s">
        <v>156</v>
      </c>
      <c r="C145" s="10">
        <v>9</v>
      </c>
      <c r="D145" s="10">
        <v>516</v>
      </c>
      <c r="E145" s="10">
        <v>14</v>
      </c>
      <c r="F145" s="9">
        <v>628058</v>
      </c>
      <c r="G145" s="7"/>
    </row>
    <row r="146" spans="1:7" x14ac:dyDescent="0.25">
      <c r="A146" s="8">
        <v>139</v>
      </c>
      <c r="B146" s="8" t="s">
        <v>157</v>
      </c>
      <c r="C146" s="10">
        <v>9</v>
      </c>
      <c r="D146" s="9">
        <v>2231</v>
      </c>
      <c r="E146" s="10">
        <v>144</v>
      </c>
      <c r="F146" s="9">
        <v>62299</v>
      </c>
      <c r="G146" s="7"/>
    </row>
    <row r="147" spans="1:7" x14ac:dyDescent="0.25">
      <c r="A147" s="8">
        <v>140</v>
      </c>
      <c r="B147" s="8" t="s">
        <v>158</v>
      </c>
      <c r="C147" s="10">
        <v>8</v>
      </c>
      <c r="D147" s="10">
        <v>72</v>
      </c>
      <c r="E147" s="10">
        <v>0.7</v>
      </c>
      <c r="F147" s="9">
        <v>11180404</v>
      </c>
      <c r="G147" s="7"/>
    </row>
    <row r="148" spans="1:7" x14ac:dyDescent="0.25">
      <c r="A148" s="8">
        <v>141</v>
      </c>
      <c r="B148" s="8" t="s">
        <v>159</v>
      </c>
      <c r="C148" s="10">
        <v>8</v>
      </c>
      <c r="D148" s="10">
        <v>83</v>
      </c>
      <c r="E148" s="10">
        <v>6</v>
      </c>
      <c r="F148" s="9">
        <v>1399048</v>
      </c>
      <c r="G148" s="7"/>
    </row>
    <row r="149" spans="1:7" x14ac:dyDescent="0.25">
      <c r="A149" s="8">
        <v>142</v>
      </c>
      <c r="B149" s="8" t="s">
        <v>160</v>
      </c>
      <c r="C149" s="10">
        <v>7</v>
      </c>
      <c r="D149" s="10">
        <v>600</v>
      </c>
      <c r="E149" s="10">
        <v>4</v>
      </c>
      <c r="F149" s="9">
        <v>1962975</v>
      </c>
      <c r="G149" s="7"/>
    </row>
    <row r="150" spans="1:7" x14ac:dyDescent="0.25">
      <c r="A150" s="8">
        <v>143</v>
      </c>
      <c r="B150" s="8" t="s">
        <v>161</v>
      </c>
      <c r="C150" s="10">
        <v>7</v>
      </c>
      <c r="D150" s="10">
        <v>50</v>
      </c>
      <c r="E150" s="10">
        <v>0.4</v>
      </c>
      <c r="F150" s="9">
        <v>18327041</v>
      </c>
      <c r="G150" s="7"/>
    </row>
    <row r="151" spans="1:7" x14ac:dyDescent="0.25">
      <c r="A151" s="8">
        <v>144</v>
      </c>
      <c r="B151" s="8" t="s">
        <v>162</v>
      </c>
      <c r="C151" s="10">
        <v>7</v>
      </c>
      <c r="D151" s="10">
        <v>19</v>
      </c>
      <c r="E151" s="10">
        <v>0.3</v>
      </c>
      <c r="F151" s="9">
        <v>23812627</v>
      </c>
      <c r="G151" s="7"/>
    </row>
    <row r="152" spans="1:7" x14ac:dyDescent="0.25">
      <c r="A152" s="8">
        <v>145</v>
      </c>
      <c r="B152" s="8" t="s">
        <v>163</v>
      </c>
      <c r="C152" s="10">
        <v>7</v>
      </c>
      <c r="D152" s="10">
        <v>320</v>
      </c>
      <c r="E152" s="10">
        <v>24</v>
      </c>
      <c r="F152" s="9">
        <v>287341</v>
      </c>
      <c r="G152" s="7"/>
    </row>
    <row r="153" spans="1:7" x14ac:dyDescent="0.25">
      <c r="A153" s="8">
        <v>146</v>
      </c>
      <c r="B153" s="8" t="s">
        <v>164</v>
      </c>
      <c r="C153" s="10">
        <v>6</v>
      </c>
      <c r="D153" s="10">
        <v>6</v>
      </c>
      <c r="E153" s="10">
        <v>0.05</v>
      </c>
      <c r="F153" s="9">
        <v>114654045</v>
      </c>
      <c r="G153" s="7"/>
    </row>
    <row r="154" spans="1:7" x14ac:dyDescent="0.25">
      <c r="A154" s="8">
        <v>147</v>
      </c>
      <c r="B154" s="8" t="s">
        <v>165</v>
      </c>
      <c r="C154" s="10">
        <v>6</v>
      </c>
      <c r="D154" s="9">
        <v>1384</v>
      </c>
      <c r="E154" s="10">
        <v>14</v>
      </c>
      <c r="F154" s="9">
        <v>441429</v>
      </c>
      <c r="G154" s="7"/>
    </row>
    <row r="155" spans="1:7" x14ac:dyDescent="0.25">
      <c r="A155" s="8">
        <v>148</v>
      </c>
      <c r="B155" s="8" t="s">
        <v>166</v>
      </c>
      <c r="C155" s="10">
        <v>6</v>
      </c>
      <c r="D155" s="10">
        <v>4</v>
      </c>
      <c r="E155" s="10">
        <v>0.1</v>
      </c>
      <c r="F155" s="9">
        <v>54373757</v>
      </c>
      <c r="G155" s="7"/>
    </row>
    <row r="156" spans="1:7" x14ac:dyDescent="0.25">
      <c r="A156" s="8">
        <v>149</v>
      </c>
      <c r="B156" s="8" t="s">
        <v>167</v>
      </c>
      <c r="C156" s="10">
        <v>5</v>
      </c>
      <c r="D156" s="9">
        <v>2665</v>
      </c>
      <c r="E156" s="10">
        <v>9</v>
      </c>
      <c r="F156" s="9">
        <v>539547</v>
      </c>
      <c r="G156" s="7"/>
    </row>
    <row r="157" spans="1:7" x14ac:dyDescent="0.25">
      <c r="A157" s="8">
        <v>150</v>
      </c>
      <c r="B157" s="8" t="s">
        <v>168</v>
      </c>
      <c r="C157" s="10">
        <v>4</v>
      </c>
      <c r="D157" s="10">
        <v>142</v>
      </c>
      <c r="E157" s="10">
        <v>0.5</v>
      </c>
      <c r="F157" s="9">
        <v>7490925</v>
      </c>
      <c r="G157" s="7"/>
    </row>
    <row r="158" spans="1:7" x14ac:dyDescent="0.25">
      <c r="A158" s="8">
        <v>151</v>
      </c>
      <c r="B158" s="8" t="s">
        <v>169</v>
      </c>
      <c r="C158" s="10">
        <v>4</v>
      </c>
      <c r="D158" s="10">
        <v>27</v>
      </c>
      <c r="E158" s="10">
        <v>0.1</v>
      </c>
      <c r="F158" s="9">
        <v>29081827</v>
      </c>
      <c r="G158" s="7"/>
    </row>
    <row r="159" spans="1:7" x14ac:dyDescent="0.25">
      <c r="A159" s="8">
        <v>152</v>
      </c>
      <c r="B159" s="8" t="s">
        <v>170</v>
      </c>
      <c r="C159" s="10">
        <v>4</v>
      </c>
      <c r="D159" s="10">
        <v>702</v>
      </c>
      <c r="E159" s="10">
        <v>7</v>
      </c>
      <c r="F159" s="9">
        <v>555377</v>
      </c>
      <c r="G159" s="7"/>
    </row>
    <row r="160" spans="1:7" x14ac:dyDescent="0.25">
      <c r="A160" s="8">
        <v>153</v>
      </c>
      <c r="B160" s="8" t="s">
        <v>171</v>
      </c>
      <c r="C160" s="10">
        <v>4</v>
      </c>
      <c r="D160" s="10">
        <v>7</v>
      </c>
      <c r="E160" s="10">
        <v>0.2</v>
      </c>
      <c r="F160" s="9">
        <v>17454561</v>
      </c>
      <c r="G160" s="7"/>
    </row>
    <row r="161" spans="1:7" x14ac:dyDescent="0.25">
      <c r="A161" s="8">
        <v>154</v>
      </c>
      <c r="B161" s="8" t="s">
        <v>172</v>
      </c>
      <c r="C161" s="10">
        <v>4</v>
      </c>
      <c r="D161" s="10">
        <v>5</v>
      </c>
      <c r="E161" s="10">
        <v>0.2</v>
      </c>
      <c r="F161" s="9">
        <v>19075919</v>
      </c>
      <c r="G161" s="7"/>
    </row>
    <row r="162" spans="1:7" x14ac:dyDescent="0.25">
      <c r="A162" s="8">
        <v>155</v>
      </c>
      <c r="B162" s="8" t="s">
        <v>173</v>
      </c>
      <c r="C162" s="10">
        <v>4</v>
      </c>
      <c r="D162" s="9">
        <v>2499</v>
      </c>
      <c r="E162" s="10">
        <v>102</v>
      </c>
      <c r="F162" s="9">
        <v>39214</v>
      </c>
      <c r="G162" s="7"/>
    </row>
    <row r="163" spans="1:7" x14ac:dyDescent="0.25">
      <c r="A163" s="8">
        <v>156</v>
      </c>
      <c r="B163" s="8" t="s">
        <v>174</v>
      </c>
      <c r="C163" s="10">
        <v>4</v>
      </c>
      <c r="D163" s="10">
        <v>2</v>
      </c>
      <c r="E163" s="10">
        <v>0.1</v>
      </c>
      <c r="F163" s="9">
        <v>32751429</v>
      </c>
      <c r="G163" s="7"/>
    </row>
    <row r="164" spans="1:7" x14ac:dyDescent="0.25">
      <c r="A164" s="8">
        <v>157</v>
      </c>
      <c r="B164" s="8" t="s">
        <v>175</v>
      </c>
      <c r="C164" s="10">
        <v>4</v>
      </c>
      <c r="D164" s="10">
        <v>4</v>
      </c>
      <c r="E164" s="10">
        <v>0.3</v>
      </c>
      <c r="F164" s="9">
        <v>14840631</v>
      </c>
      <c r="G164" s="7"/>
    </row>
    <row r="165" spans="1:7" x14ac:dyDescent="0.25">
      <c r="A165" s="8">
        <v>158</v>
      </c>
      <c r="B165" s="8" t="s">
        <v>176</v>
      </c>
      <c r="C165" s="10">
        <v>3</v>
      </c>
      <c r="D165" s="10">
        <v>84</v>
      </c>
      <c r="E165" s="10">
        <v>0.6</v>
      </c>
      <c r="F165" s="9">
        <v>5088625</v>
      </c>
      <c r="G165" s="7"/>
    </row>
    <row r="166" spans="1:7" x14ac:dyDescent="0.25">
      <c r="A166" s="8">
        <v>159</v>
      </c>
      <c r="B166" s="8" t="s">
        <v>177</v>
      </c>
      <c r="C166" s="10">
        <v>3</v>
      </c>
      <c r="D166" s="10">
        <v>17</v>
      </c>
      <c r="E166" s="10">
        <v>0.2</v>
      </c>
      <c r="F166" s="9">
        <v>12088427</v>
      </c>
      <c r="G166" s="7"/>
    </row>
    <row r="167" spans="1:7" x14ac:dyDescent="0.25">
      <c r="A167" s="8">
        <v>160</v>
      </c>
      <c r="B167" s="8" t="s">
        <v>178</v>
      </c>
      <c r="C167" s="10">
        <v>3</v>
      </c>
      <c r="D167" s="10">
        <v>946</v>
      </c>
      <c r="E167" s="10">
        <v>28</v>
      </c>
      <c r="F167" s="9">
        <v>106722</v>
      </c>
      <c r="G167" s="7"/>
    </row>
    <row r="168" spans="1:7" x14ac:dyDescent="0.25">
      <c r="A168" s="8">
        <v>161</v>
      </c>
      <c r="B168" s="8" t="s">
        <v>179</v>
      </c>
      <c r="C168" s="10">
        <v>3</v>
      </c>
      <c r="D168" s="10">
        <v>11</v>
      </c>
      <c r="E168" s="10">
        <v>0.4</v>
      </c>
      <c r="F168" s="9">
        <v>6861713</v>
      </c>
      <c r="G168" s="7"/>
    </row>
    <row r="169" spans="1:7" x14ac:dyDescent="0.25">
      <c r="A169" s="8">
        <v>162</v>
      </c>
      <c r="B169" s="8" t="s">
        <v>180</v>
      </c>
      <c r="C169" s="10">
        <v>3</v>
      </c>
      <c r="D169" s="9">
        <v>1036</v>
      </c>
      <c r="E169" s="10">
        <v>78</v>
      </c>
      <c r="F169" s="9">
        <v>38597</v>
      </c>
      <c r="G169" s="7"/>
    </row>
    <row r="170" spans="1:7" x14ac:dyDescent="0.25">
      <c r="A170" s="8">
        <v>163</v>
      </c>
      <c r="B170" s="8" t="s">
        <v>181</v>
      </c>
      <c r="C170" s="10">
        <v>3</v>
      </c>
      <c r="D170" s="10">
        <v>255</v>
      </c>
      <c r="E170" s="10">
        <v>31</v>
      </c>
      <c r="F170" s="9">
        <v>97848</v>
      </c>
      <c r="G170" s="7"/>
    </row>
    <row r="171" spans="1:7" x14ac:dyDescent="0.25">
      <c r="A171" s="8">
        <v>164</v>
      </c>
      <c r="B171" s="8" t="s">
        <v>182</v>
      </c>
      <c r="C171" s="10">
        <v>2</v>
      </c>
      <c r="D171" s="10">
        <v>21</v>
      </c>
      <c r="E171" s="10">
        <v>7.0000000000000007E-2</v>
      </c>
      <c r="F171" s="9">
        <v>27613258</v>
      </c>
      <c r="G171" s="7"/>
    </row>
    <row r="172" spans="1:7" x14ac:dyDescent="0.25">
      <c r="A172" s="8">
        <v>165</v>
      </c>
      <c r="B172" s="8" t="s">
        <v>183</v>
      </c>
      <c r="C172" s="10">
        <v>2</v>
      </c>
      <c r="D172" s="10">
        <v>225</v>
      </c>
      <c r="E172" s="10">
        <v>2</v>
      </c>
      <c r="F172" s="9">
        <v>1158954</v>
      </c>
      <c r="G172" s="7"/>
    </row>
    <row r="173" spans="1:7" x14ac:dyDescent="0.25">
      <c r="A173" s="8">
        <v>166</v>
      </c>
      <c r="B173" s="8" t="s">
        <v>184</v>
      </c>
      <c r="C173" s="10">
        <v>2</v>
      </c>
      <c r="D173" s="10">
        <v>45</v>
      </c>
      <c r="E173" s="10">
        <v>5</v>
      </c>
      <c r="F173" s="9">
        <v>396870</v>
      </c>
      <c r="G173" s="7"/>
    </row>
    <row r="174" spans="1:7" x14ac:dyDescent="0.25">
      <c r="A174" s="8">
        <v>167</v>
      </c>
      <c r="B174" s="8" t="s">
        <v>185</v>
      </c>
      <c r="C174" s="10">
        <v>2</v>
      </c>
      <c r="D174" s="8"/>
      <c r="E174" s="8"/>
      <c r="F174" s="10">
        <v>0</v>
      </c>
      <c r="G174" s="7"/>
    </row>
    <row r="175" spans="1:7" x14ac:dyDescent="0.25">
      <c r="A175" s="8">
        <v>168</v>
      </c>
      <c r="B175" s="8" t="s">
        <v>186</v>
      </c>
      <c r="C175" s="10">
        <v>1</v>
      </c>
      <c r="D175" s="10">
        <v>139</v>
      </c>
      <c r="E175" s="10">
        <v>0.2</v>
      </c>
      <c r="F175" s="9">
        <v>4820985</v>
      </c>
      <c r="G175" s="7"/>
    </row>
    <row r="176" spans="1:7" x14ac:dyDescent="0.25">
      <c r="A176" s="8">
        <v>169</v>
      </c>
      <c r="B176" s="8" t="s">
        <v>187</v>
      </c>
      <c r="C176" s="10">
        <v>1</v>
      </c>
      <c r="D176" s="10">
        <v>513</v>
      </c>
      <c r="E176" s="10">
        <v>1</v>
      </c>
      <c r="F176" s="9">
        <v>894679</v>
      </c>
      <c r="G176" s="7"/>
    </row>
    <row r="177" spans="1:7" x14ac:dyDescent="0.25">
      <c r="A177" s="8">
        <v>170</v>
      </c>
      <c r="B177" s="8" t="s">
        <v>188</v>
      </c>
      <c r="C177" s="10">
        <v>1</v>
      </c>
      <c r="D177" s="9">
        <v>1289</v>
      </c>
      <c r="E177" s="10">
        <v>3</v>
      </c>
      <c r="F177" s="9">
        <v>297835</v>
      </c>
      <c r="G177" s="7"/>
    </row>
    <row r="178" spans="1:7" x14ac:dyDescent="0.25">
      <c r="A178" s="8">
        <v>171</v>
      </c>
      <c r="B178" s="8" t="s">
        <v>189</v>
      </c>
      <c r="C178" s="10">
        <v>1</v>
      </c>
      <c r="D178" s="10">
        <v>7</v>
      </c>
      <c r="E178" s="10">
        <v>0.03</v>
      </c>
      <c r="F178" s="9">
        <v>31158631</v>
      </c>
      <c r="G178" s="7"/>
    </row>
    <row r="179" spans="1:7" x14ac:dyDescent="0.25">
      <c r="A179" s="8">
        <v>172</v>
      </c>
      <c r="B179" s="8" t="s">
        <v>190</v>
      </c>
      <c r="C179" s="10">
        <v>1</v>
      </c>
      <c r="D179" s="10">
        <v>323</v>
      </c>
      <c r="E179" s="10">
        <v>2</v>
      </c>
      <c r="F179" s="9">
        <v>437059</v>
      </c>
      <c r="G179" s="7"/>
    </row>
    <row r="180" spans="1:7" x14ac:dyDescent="0.25">
      <c r="A180" s="8">
        <v>173</v>
      </c>
      <c r="B180" s="8" t="s">
        <v>191</v>
      </c>
      <c r="C180" s="10">
        <v>1</v>
      </c>
      <c r="D180" s="9">
        <v>2041</v>
      </c>
      <c r="E180" s="10">
        <v>15</v>
      </c>
      <c r="F180" s="9">
        <v>65644</v>
      </c>
      <c r="G180" s="7"/>
    </row>
    <row r="181" spans="1:7" x14ac:dyDescent="0.25">
      <c r="A181" s="8">
        <v>174</v>
      </c>
      <c r="B181" s="8" t="s">
        <v>192</v>
      </c>
      <c r="C181" s="10">
        <v>1</v>
      </c>
      <c r="D181" s="10">
        <v>100</v>
      </c>
      <c r="E181" s="10">
        <v>1</v>
      </c>
      <c r="F181" s="9">
        <v>867624</v>
      </c>
      <c r="G181" s="7"/>
    </row>
    <row r="182" spans="1:7" x14ac:dyDescent="0.25">
      <c r="A182" s="8">
        <v>175</v>
      </c>
      <c r="B182" s="8" t="s">
        <v>193</v>
      </c>
      <c r="C182" s="10">
        <v>1</v>
      </c>
      <c r="D182" s="9">
        <v>2151</v>
      </c>
      <c r="E182" s="10">
        <v>26</v>
      </c>
      <c r="F182" s="9">
        <v>38117</v>
      </c>
      <c r="G182" s="7"/>
    </row>
    <row r="183" spans="1:7" x14ac:dyDescent="0.25">
      <c r="A183" s="8">
        <v>176</v>
      </c>
      <c r="B183" s="8" t="s">
        <v>194</v>
      </c>
      <c r="C183" s="10">
        <v>1</v>
      </c>
      <c r="D183" s="10">
        <v>4</v>
      </c>
      <c r="E183" s="10">
        <v>0.08</v>
      </c>
      <c r="F183" s="9">
        <v>11851274</v>
      </c>
      <c r="G183" s="7"/>
    </row>
    <row r="184" spans="1:7" x14ac:dyDescent="0.25">
      <c r="A184" s="8">
        <v>177</v>
      </c>
      <c r="B184" s="8" t="s">
        <v>195</v>
      </c>
      <c r="C184" s="10">
        <v>1</v>
      </c>
      <c r="D184" s="10">
        <v>15</v>
      </c>
      <c r="E184" s="10">
        <v>0.4</v>
      </c>
      <c r="F184" s="9">
        <v>2346588</v>
      </c>
      <c r="G184" s="7"/>
    </row>
    <row r="185" spans="1:7" x14ac:dyDescent="0.25">
      <c r="A185" s="8">
        <v>178</v>
      </c>
      <c r="B185" s="8" t="s">
        <v>196</v>
      </c>
      <c r="C185" s="10">
        <v>1</v>
      </c>
      <c r="D185" s="10">
        <v>10</v>
      </c>
      <c r="E185" s="10">
        <v>0.4</v>
      </c>
      <c r="F185" s="9">
        <v>2409159</v>
      </c>
      <c r="G185" s="7"/>
    </row>
    <row r="186" spans="1:7" x14ac:dyDescent="0.25">
      <c r="A186" s="8">
        <v>179</v>
      </c>
      <c r="B186" s="8" t="s">
        <v>197</v>
      </c>
      <c r="C186" s="10">
        <v>1</v>
      </c>
      <c r="D186" s="10">
        <v>110</v>
      </c>
      <c r="E186" s="10">
        <v>6</v>
      </c>
      <c r="F186" s="9">
        <v>164028</v>
      </c>
      <c r="G186" s="7"/>
    </row>
    <row r="187" spans="1:7" x14ac:dyDescent="0.25">
      <c r="A187" s="8">
        <v>180</v>
      </c>
      <c r="B187" s="8" t="s">
        <v>198</v>
      </c>
      <c r="C187" s="10">
        <v>1</v>
      </c>
      <c r="D187" s="10">
        <v>310</v>
      </c>
      <c r="E187" s="10">
        <v>26</v>
      </c>
      <c r="F187" s="9">
        <v>38663</v>
      </c>
      <c r="G187" s="7"/>
    </row>
    <row r="188" spans="1:7" x14ac:dyDescent="0.25">
      <c r="A188" s="8">
        <v>181</v>
      </c>
      <c r="B188" s="8" t="s">
        <v>199</v>
      </c>
      <c r="C188" s="10">
        <v>1</v>
      </c>
      <c r="D188" s="9">
        <v>2204</v>
      </c>
      <c r="E188" s="10">
        <v>200</v>
      </c>
      <c r="F188" s="9">
        <v>4992</v>
      </c>
      <c r="G188" s="7"/>
    </row>
    <row r="189" spans="1:7" x14ac:dyDescent="0.25">
      <c r="A189" s="8">
        <v>182</v>
      </c>
      <c r="B189" s="8" t="s">
        <v>200</v>
      </c>
      <c r="C189" s="10">
        <v>1</v>
      </c>
      <c r="D189" s="10">
        <v>19</v>
      </c>
      <c r="E189" s="10">
        <v>2</v>
      </c>
      <c r="F189" s="9">
        <v>586106</v>
      </c>
      <c r="G189" s="7"/>
    </row>
    <row r="190" spans="1:7" x14ac:dyDescent="0.25">
      <c r="A190" s="8">
        <v>183</v>
      </c>
      <c r="B190" s="8" t="s">
        <v>201</v>
      </c>
      <c r="C190" s="10">
        <v>1</v>
      </c>
      <c r="D190" s="10">
        <v>15</v>
      </c>
      <c r="E190" s="10">
        <v>2</v>
      </c>
      <c r="F190" s="9">
        <v>595744</v>
      </c>
      <c r="G190" s="7"/>
    </row>
    <row r="191" spans="1:7" x14ac:dyDescent="0.25">
      <c r="A191" s="8">
        <v>184</v>
      </c>
      <c r="B191" s="8" t="s">
        <v>202</v>
      </c>
      <c r="C191" s="10">
        <v>1</v>
      </c>
      <c r="D191" s="10">
        <v>265</v>
      </c>
      <c r="E191" s="10">
        <v>33</v>
      </c>
      <c r="F191" s="9">
        <v>30211</v>
      </c>
      <c r="G191" s="7"/>
    </row>
    <row r="192" spans="1:7" x14ac:dyDescent="0.25">
      <c r="A192" s="8">
        <v>185</v>
      </c>
      <c r="B192" s="8" t="s">
        <v>203</v>
      </c>
      <c r="C192" s="8"/>
      <c r="D192" s="10">
        <v>26</v>
      </c>
      <c r="E192" s="8"/>
      <c r="F192" s="9">
        <v>12917314</v>
      </c>
      <c r="G192" s="7"/>
    </row>
    <row r="193" spans="1:7" x14ac:dyDescent="0.25">
      <c r="A193" s="8">
        <v>186</v>
      </c>
      <c r="B193" s="8" t="s">
        <v>204</v>
      </c>
      <c r="C193" s="8"/>
      <c r="D193" s="10">
        <v>3</v>
      </c>
      <c r="E193" s="8"/>
      <c r="F193" s="9">
        <v>97250965</v>
      </c>
      <c r="G193" s="7"/>
    </row>
    <row r="194" spans="1:7" x14ac:dyDescent="0.25">
      <c r="A194" s="8">
        <v>187</v>
      </c>
      <c r="B194" s="8" t="s">
        <v>205</v>
      </c>
      <c r="C194" s="8"/>
      <c r="D194" s="10">
        <v>6</v>
      </c>
      <c r="E194" s="8"/>
      <c r="F194" s="9">
        <v>45578341</v>
      </c>
      <c r="G194" s="7"/>
    </row>
    <row r="195" spans="1:7" x14ac:dyDescent="0.25">
      <c r="A195" s="8">
        <v>188</v>
      </c>
      <c r="B195" s="8" t="s">
        <v>206</v>
      </c>
      <c r="C195" s="8"/>
      <c r="D195" s="9">
        <v>3828</v>
      </c>
      <c r="E195" s="8"/>
      <c r="F195" s="9">
        <v>48845</v>
      </c>
      <c r="G195" s="7"/>
    </row>
    <row r="196" spans="1:7" x14ac:dyDescent="0.25">
      <c r="A196" s="8">
        <v>189</v>
      </c>
      <c r="B196" s="8" t="s">
        <v>207</v>
      </c>
      <c r="C196" s="8"/>
      <c r="D196" s="9">
        <v>4571</v>
      </c>
      <c r="E196" s="8"/>
      <c r="F196" s="9">
        <v>33692</v>
      </c>
      <c r="G196" s="7"/>
    </row>
    <row r="197" spans="1:7" x14ac:dyDescent="0.25">
      <c r="A197" s="8">
        <v>190</v>
      </c>
      <c r="B197" s="8" t="s">
        <v>208</v>
      </c>
      <c r="C197" s="8"/>
      <c r="D197" s="10">
        <v>43</v>
      </c>
      <c r="E197" s="8"/>
      <c r="F197" s="9">
        <v>3272806</v>
      </c>
      <c r="G197" s="7"/>
    </row>
    <row r="198" spans="1:7" x14ac:dyDescent="0.25">
      <c r="A198" s="8">
        <v>191</v>
      </c>
      <c r="B198" s="8" t="s">
        <v>209</v>
      </c>
      <c r="C198" s="8"/>
      <c r="D198" s="10">
        <v>7</v>
      </c>
      <c r="E198" s="8"/>
      <c r="F198" s="9">
        <v>16695214</v>
      </c>
      <c r="G198" s="7"/>
    </row>
    <row r="199" spans="1:7" x14ac:dyDescent="0.25">
      <c r="A199" s="8">
        <v>192</v>
      </c>
      <c r="B199" s="8" t="s">
        <v>210</v>
      </c>
      <c r="C199" s="8"/>
      <c r="D199" s="10">
        <v>214</v>
      </c>
      <c r="E199" s="8"/>
      <c r="F199" s="9">
        <v>280748</v>
      </c>
      <c r="G199" s="7"/>
    </row>
    <row r="200" spans="1:7" x14ac:dyDescent="0.25">
      <c r="A200" s="8">
        <v>193</v>
      </c>
      <c r="B200" s="8" t="s">
        <v>211</v>
      </c>
      <c r="C200" s="8"/>
      <c r="D200" s="10">
        <v>69</v>
      </c>
      <c r="E200" s="8"/>
      <c r="F200" s="9">
        <v>648427</v>
      </c>
      <c r="G200" s="7"/>
    </row>
    <row r="201" spans="1:7" x14ac:dyDescent="0.25">
      <c r="A201" s="8">
        <v>194</v>
      </c>
      <c r="B201" s="8" t="s">
        <v>212</v>
      </c>
      <c r="C201" s="8"/>
      <c r="D201" s="10">
        <v>11</v>
      </c>
      <c r="E201" s="8"/>
      <c r="F201" s="9">
        <v>3541383</v>
      </c>
      <c r="G201" s="7"/>
    </row>
    <row r="202" spans="1:7" x14ac:dyDescent="0.25">
      <c r="A202" s="8">
        <v>195</v>
      </c>
      <c r="B202" s="8" t="s">
        <v>213</v>
      </c>
      <c r="C202" s="8"/>
      <c r="D202" s="10">
        <v>35</v>
      </c>
      <c r="E202" s="8"/>
      <c r="F202" s="9">
        <v>770749</v>
      </c>
      <c r="G202" s="7"/>
    </row>
    <row r="203" spans="1:7" x14ac:dyDescent="0.25">
      <c r="A203" s="8">
        <v>196</v>
      </c>
      <c r="B203" s="8" t="s">
        <v>214</v>
      </c>
      <c r="C203" s="8"/>
      <c r="D203" s="10">
        <v>18</v>
      </c>
      <c r="E203" s="8"/>
      <c r="F203" s="9">
        <v>1315796</v>
      </c>
      <c r="G203" s="7"/>
    </row>
    <row r="204" spans="1:7" x14ac:dyDescent="0.25">
      <c r="A204" s="8">
        <v>197</v>
      </c>
      <c r="B204" s="8" t="s">
        <v>215</v>
      </c>
      <c r="C204" s="8"/>
      <c r="D204" s="10">
        <v>204</v>
      </c>
      <c r="E204" s="8"/>
      <c r="F204" s="9">
        <v>112472</v>
      </c>
      <c r="G204" s="7"/>
    </row>
    <row r="205" spans="1:7" x14ac:dyDescent="0.25">
      <c r="A205" s="8">
        <v>198</v>
      </c>
      <c r="B205" s="8" t="s">
        <v>216</v>
      </c>
      <c r="C205" s="8"/>
      <c r="D205" s="10">
        <v>8</v>
      </c>
      <c r="E205" s="8"/>
      <c r="F205" s="9">
        <v>2536074</v>
      </c>
      <c r="G205" s="7"/>
    </row>
    <row r="206" spans="1:7" x14ac:dyDescent="0.25">
      <c r="A206" s="8">
        <v>199</v>
      </c>
      <c r="B206" s="8" t="s">
        <v>217</v>
      </c>
      <c r="C206" s="8"/>
      <c r="D206" s="10">
        <v>3</v>
      </c>
      <c r="E206" s="8"/>
      <c r="F206" s="9">
        <v>7264685</v>
      </c>
      <c r="G206" s="7"/>
    </row>
    <row r="207" spans="1:7" x14ac:dyDescent="0.25">
      <c r="A207" s="8">
        <v>200</v>
      </c>
      <c r="B207" s="8" t="s">
        <v>218</v>
      </c>
      <c r="C207" s="8"/>
      <c r="D207" s="10">
        <v>20</v>
      </c>
      <c r="E207" s="8"/>
      <c r="F207" s="9">
        <v>895801</v>
      </c>
      <c r="G207" s="7"/>
    </row>
    <row r="208" spans="1:7" x14ac:dyDescent="0.25">
      <c r="A208" s="8">
        <v>201</v>
      </c>
      <c r="B208" s="8" t="s">
        <v>219</v>
      </c>
      <c r="C208" s="8"/>
      <c r="D208" s="10">
        <v>63</v>
      </c>
      <c r="E208" s="8"/>
      <c r="F208" s="9">
        <v>285223</v>
      </c>
      <c r="G208" s="7"/>
    </row>
    <row r="209" spans="1:7" x14ac:dyDescent="0.25">
      <c r="A209" s="8">
        <v>202</v>
      </c>
      <c r="B209" s="8" t="s">
        <v>220</v>
      </c>
      <c r="C209" s="8"/>
      <c r="D209" s="10">
        <v>98</v>
      </c>
      <c r="E209" s="8"/>
      <c r="F209" s="9">
        <v>183545</v>
      </c>
      <c r="G209" s="7"/>
    </row>
    <row r="210" spans="1:7" x14ac:dyDescent="0.25">
      <c r="A210" s="8">
        <v>203</v>
      </c>
      <c r="B210" s="8" t="s">
        <v>221</v>
      </c>
      <c r="C210" s="8"/>
      <c r="D210" s="10">
        <v>162</v>
      </c>
      <c r="E210" s="8"/>
      <c r="F210" s="9">
        <v>110906</v>
      </c>
      <c r="G210" s="7"/>
    </row>
    <row r="211" spans="1:7" x14ac:dyDescent="0.25">
      <c r="A211" s="8">
        <v>204</v>
      </c>
      <c r="B211" s="8" t="s">
        <v>222</v>
      </c>
      <c r="C211" s="8"/>
      <c r="D211" s="10">
        <v>222</v>
      </c>
      <c r="E211" s="8"/>
      <c r="F211" s="9">
        <v>71969</v>
      </c>
      <c r="G211" s="7"/>
    </row>
    <row r="212" spans="1:7" x14ac:dyDescent="0.25">
      <c r="A212" s="8">
        <v>205</v>
      </c>
      <c r="B212" s="8" t="s">
        <v>223</v>
      </c>
      <c r="C212" s="8"/>
      <c r="D212" s="10">
        <v>282</v>
      </c>
      <c r="E212" s="8"/>
      <c r="F212" s="9">
        <v>53162</v>
      </c>
      <c r="G212" s="7"/>
    </row>
    <row r="213" spans="1:7" x14ac:dyDescent="0.25">
      <c r="A213" s="8">
        <v>206</v>
      </c>
      <c r="B213" s="8" t="s">
        <v>224</v>
      </c>
      <c r="C213" s="8"/>
      <c r="D213" s="9">
        <v>3747</v>
      </c>
      <c r="E213" s="8"/>
      <c r="F213" s="9">
        <v>3469</v>
      </c>
      <c r="G213" s="7"/>
    </row>
    <row r="214" spans="1:7" x14ac:dyDescent="0.25">
      <c r="A214" s="8">
        <v>207</v>
      </c>
      <c r="B214" s="8" t="s">
        <v>225</v>
      </c>
      <c r="C214" s="8"/>
      <c r="D214" s="10">
        <v>211</v>
      </c>
      <c r="E214" s="8"/>
      <c r="F214" s="9">
        <v>56761</v>
      </c>
      <c r="G214" s="7"/>
    </row>
    <row r="215" spans="1:7" x14ac:dyDescent="0.25">
      <c r="A215" s="8">
        <v>208</v>
      </c>
      <c r="B215" s="8" t="s">
        <v>226</v>
      </c>
      <c r="C215" s="8"/>
      <c r="D215" s="9">
        <v>14981</v>
      </c>
      <c r="E215" s="8"/>
      <c r="F215" s="10">
        <v>801</v>
      </c>
      <c r="G215" s="7"/>
    </row>
    <row r="216" spans="1:7" x14ac:dyDescent="0.25">
      <c r="A216" s="8">
        <v>209</v>
      </c>
      <c r="B216" s="8" t="s">
        <v>227</v>
      </c>
      <c r="C216" s="8"/>
      <c r="D216" s="10">
        <v>112</v>
      </c>
      <c r="E216" s="8"/>
      <c r="F216" s="9">
        <v>98287</v>
      </c>
      <c r="G216" s="7"/>
    </row>
    <row r="217" spans="1:7" x14ac:dyDescent="0.25">
      <c r="A217" s="8">
        <v>210</v>
      </c>
      <c r="B217" s="8" t="s">
        <v>228</v>
      </c>
      <c r="C217" s="8"/>
      <c r="D217" s="10">
        <v>0.9</v>
      </c>
      <c r="E217" s="8"/>
      <c r="F217" s="9">
        <v>8929153</v>
      </c>
      <c r="G217" s="7"/>
    </row>
    <row r="218" spans="1:7" x14ac:dyDescent="0.25">
      <c r="A218" s="8">
        <v>211</v>
      </c>
      <c r="B218" s="8" t="s">
        <v>229</v>
      </c>
      <c r="C218" s="8"/>
      <c r="D218" s="10">
        <v>229</v>
      </c>
      <c r="E218" s="8"/>
      <c r="F218" s="9">
        <v>26199</v>
      </c>
      <c r="G218" s="7"/>
    </row>
    <row r="219" spans="1:7" x14ac:dyDescent="0.25">
      <c r="A219" s="8">
        <v>212</v>
      </c>
      <c r="B219" s="8" t="s">
        <v>230</v>
      </c>
      <c r="C219" s="8"/>
      <c r="D219" s="10">
        <v>608</v>
      </c>
      <c r="E219" s="8"/>
      <c r="F219" s="9">
        <v>9874</v>
      </c>
      <c r="G219" s="7"/>
    </row>
    <row r="220" spans="1:7" x14ac:dyDescent="0.25">
      <c r="A220" s="8">
        <v>213</v>
      </c>
      <c r="B220" s="8" t="s">
        <v>231</v>
      </c>
      <c r="C220" s="8"/>
      <c r="D220" s="10">
        <v>200</v>
      </c>
      <c r="E220" s="8"/>
      <c r="F220" s="9">
        <v>14990</v>
      </c>
      <c r="G220" s="7"/>
    </row>
    <row r="221" spans="1:7" x14ac:dyDescent="0.25">
      <c r="A221" s="8">
        <v>214</v>
      </c>
      <c r="B221" s="8" t="s">
        <v>232</v>
      </c>
      <c r="C221" s="8"/>
      <c r="D221" s="10">
        <v>0.9</v>
      </c>
      <c r="E221" s="8"/>
      <c r="F221" s="9">
        <v>2140560</v>
      </c>
      <c r="G221" s="7"/>
    </row>
    <row r="222" spans="1:7" x14ac:dyDescent="0.25">
      <c r="A222" s="8">
        <v>215</v>
      </c>
      <c r="B222" s="8" t="s">
        <v>233</v>
      </c>
      <c r="C222" s="8"/>
      <c r="D222" s="10">
        <v>173</v>
      </c>
      <c r="E222" s="8"/>
      <c r="F222" s="9">
        <v>5797</v>
      </c>
      <c r="G222" s="7"/>
    </row>
    <row r="223" spans="1:7" x14ac:dyDescent="0.25">
      <c r="A223" s="8"/>
      <c r="B223" s="8" t="s">
        <v>234</v>
      </c>
      <c r="C223" s="9">
        <v>351601</v>
      </c>
      <c r="D223" s="10">
        <v>728.3</v>
      </c>
      <c r="E223" s="10">
        <v>45.1</v>
      </c>
      <c r="F223" s="9">
        <v>7750747910</v>
      </c>
      <c r="G223" s="7"/>
    </row>
  </sheetData>
  <mergeCells count="7">
    <mergeCell ref="G4:G5"/>
    <mergeCell ref="C4:C5"/>
    <mergeCell ref="A4:A5"/>
    <mergeCell ref="B4:B5"/>
    <mergeCell ref="D4:D5"/>
    <mergeCell ref="E4:E5"/>
    <mergeCell ref="F4:F5"/>
  </mergeCells>
  <hyperlinks>
    <hyperlink ref="B2" r:id="rId1" display="https://www.worldometers.info/coronavirus/?utm_campaign=homeAdvegas1?%22" xr:uid="{2D8AE7E2-AFBD-4DE1-942D-0BD080CABA4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6CB62-B72F-4910-8ED9-8104B209F22F}">
  <dimension ref="A2:G223"/>
  <sheetViews>
    <sheetView workbookViewId="0"/>
  </sheetViews>
  <sheetFormatPr defaultRowHeight="15.75" x14ac:dyDescent="0.25"/>
  <cols>
    <col min="1" max="1" width="9.140625" style="11"/>
    <col min="2" max="2" width="22.28515625" style="11" bestFit="1" customWidth="1"/>
    <col min="3" max="3" width="8.42578125" style="11" bestFit="1" customWidth="1"/>
    <col min="4" max="4" width="10.85546875" style="11" bestFit="1" customWidth="1"/>
    <col min="5" max="5" width="11.85546875" style="11" bestFit="1" customWidth="1"/>
    <col min="6" max="6" width="14.28515625" style="11" bestFit="1" customWidth="1"/>
    <col min="7" max="7" width="83" style="12" customWidth="1"/>
    <col min="8" max="16384" width="9.140625" style="11"/>
  </cols>
  <sheetData>
    <row r="2" spans="1:7" x14ac:dyDescent="0.25">
      <c r="B2" s="13" t="s">
        <v>237</v>
      </c>
      <c r="E2" s="11" t="s">
        <v>439</v>
      </c>
    </row>
    <row r="4" spans="1:7" ht="15.75" customHeight="1" x14ac:dyDescent="0.25">
      <c r="A4" s="389" t="s">
        <v>8</v>
      </c>
      <c r="B4" s="389" t="s">
        <v>9</v>
      </c>
      <c r="C4" s="387" t="s">
        <v>10</v>
      </c>
      <c r="D4" s="389" t="s">
        <v>11</v>
      </c>
      <c r="E4" s="389" t="s">
        <v>12</v>
      </c>
      <c r="F4" s="389" t="s">
        <v>13</v>
      </c>
      <c r="G4" s="386" t="s">
        <v>14</v>
      </c>
    </row>
    <row r="5" spans="1:7" ht="15.75" customHeight="1" x14ac:dyDescent="0.25">
      <c r="A5" s="389"/>
      <c r="B5" s="389"/>
      <c r="C5" s="388"/>
      <c r="D5" s="389"/>
      <c r="E5" s="389"/>
      <c r="F5" s="389"/>
      <c r="G5" s="386"/>
    </row>
    <row r="6" spans="1:7" x14ac:dyDescent="0.25">
      <c r="A6" s="8"/>
      <c r="B6" s="8" t="s">
        <v>15</v>
      </c>
      <c r="C6" s="9">
        <v>351601</v>
      </c>
      <c r="D6" s="10">
        <v>728</v>
      </c>
      <c r="E6" s="10">
        <v>45.1</v>
      </c>
      <c r="F6" s="9">
        <v>7750747910</v>
      </c>
      <c r="G6" s="7"/>
    </row>
    <row r="7" spans="1:7" x14ac:dyDescent="0.25">
      <c r="A7" s="8"/>
      <c r="B7" s="8"/>
      <c r="C7" s="8"/>
      <c r="D7" s="8"/>
      <c r="E7" s="8"/>
      <c r="F7" s="8"/>
      <c r="G7" s="7"/>
    </row>
    <row r="8" spans="1:7" x14ac:dyDescent="0.25">
      <c r="A8" s="8">
        <v>1</v>
      </c>
      <c r="B8" s="8" t="s">
        <v>108</v>
      </c>
      <c r="C8" s="10">
        <v>42</v>
      </c>
      <c r="D8" s="9">
        <v>19632</v>
      </c>
      <c r="E8" s="9">
        <v>1238</v>
      </c>
      <c r="F8" s="9">
        <v>33924</v>
      </c>
      <c r="G8" s="7"/>
    </row>
    <row r="9" spans="1:7" x14ac:dyDescent="0.25">
      <c r="A9" s="8">
        <v>2</v>
      </c>
      <c r="B9" s="8" t="s">
        <v>22</v>
      </c>
      <c r="C9" s="9">
        <v>9334</v>
      </c>
      <c r="D9" s="9">
        <v>4960</v>
      </c>
      <c r="E9" s="10">
        <v>806</v>
      </c>
      <c r="F9" s="9">
        <v>11584702</v>
      </c>
      <c r="G9" s="7"/>
    </row>
    <row r="10" spans="1:7" x14ac:dyDescent="0.25">
      <c r="A10" s="8">
        <v>3</v>
      </c>
      <c r="B10" s="8" t="s">
        <v>102</v>
      </c>
      <c r="C10" s="10">
        <v>51</v>
      </c>
      <c r="D10" s="9">
        <v>9877</v>
      </c>
      <c r="E10" s="10">
        <v>660</v>
      </c>
      <c r="F10" s="9">
        <v>77253</v>
      </c>
      <c r="G10" s="7"/>
    </row>
    <row r="11" spans="1:7" x14ac:dyDescent="0.25">
      <c r="A11" s="8">
        <v>4</v>
      </c>
      <c r="B11" s="8" t="s">
        <v>20</v>
      </c>
      <c r="C11" s="9">
        <v>27117</v>
      </c>
      <c r="D11" s="9">
        <v>6060</v>
      </c>
      <c r="E11" s="10">
        <v>580</v>
      </c>
      <c r="F11" s="9">
        <v>46753049</v>
      </c>
      <c r="G11" s="7"/>
    </row>
    <row r="12" spans="1:7" x14ac:dyDescent="0.25">
      <c r="A12" s="8">
        <v>5</v>
      </c>
      <c r="B12" s="8" t="s">
        <v>17</v>
      </c>
      <c r="C12" s="9">
        <v>37048</v>
      </c>
      <c r="D12" s="9">
        <v>3909</v>
      </c>
      <c r="E12" s="10">
        <v>546</v>
      </c>
      <c r="F12" s="9">
        <v>67851047</v>
      </c>
      <c r="G12" s="7"/>
    </row>
    <row r="13" spans="1:7" x14ac:dyDescent="0.25">
      <c r="A13" s="8">
        <v>6</v>
      </c>
      <c r="B13" s="8" t="s">
        <v>18</v>
      </c>
      <c r="C13" s="9">
        <v>32955</v>
      </c>
      <c r="D13" s="9">
        <v>3813</v>
      </c>
      <c r="E13" s="10">
        <v>545</v>
      </c>
      <c r="F13" s="9">
        <v>60470230</v>
      </c>
      <c r="G13" s="7"/>
    </row>
    <row r="14" spans="1:7" x14ac:dyDescent="0.25">
      <c r="A14" s="8">
        <v>7</v>
      </c>
      <c r="B14" s="8" t="s">
        <v>19</v>
      </c>
      <c r="C14" s="9">
        <v>28530</v>
      </c>
      <c r="D14" s="9">
        <v>2800</v>
      </c>
      <c r="E14" s="10">
        <v>437</v>
      </c>
      <c r="F14" s="9">
        <v>65259581</v>
      </c>
      <c r="G14" s="7"/>
    </row>
    <row r="15" spans="1:7" x14ac:dyDescent="0.25">
      <c r="A15" s="8">
        <v>8</v>
      </c>
      <c r="B15" s="8" t="s">
        <v>31</v>
      </c>
      <c r="C15" s="9">
        <v>4125</v>
      </c>
      <c r="D15" s="9">
        <v>3412</v>
      </c>
      <c r="E15" s="10">
        <v>409</v>
      </c>
      <c r="F15" s="9">
        <v>10093058</v>
      </c>
      <c r="G15" s="7"/>
    </row>
    <row r="16" spans="1:7" x14ac:dyDescent="0.25">
      <c r="A16" s="8">
        <v>9</v>
      </c>
      <c r="B16" s="8" t="s">
        <v>133</v>
      </c>
      <c r="C16" s="10">
        <v>15</v>
      </c>
      <c r="D16" s="9">
        <v>1798</v>
      </c>
      <c r="E16" s="10">
        <v>350</v>
      </c>
      <c r="F16" s="9">
        <v>42827</v>
      </c>
      <c r="G16" s="7"/>
    </row>
    <row r="17" spans="1:7" x14ac:dyDescent="0.25">
      <c r="A17" s="8">
        <v>10</v>
      </c>
      <c r="B17" s="8" t="s">
        <v>27</v>
      </c>
      <c r="C17" s="9">
        <v>5856</v>
      </c>
      <c r="D17" s="9">
        <v>2661</v>
      </c>
      <c r="E17" s="10">
        <v>342</v>
      </c>
      <c r="F17" s="9">
        <v>17131215</v>
      </c>
      <c r="G17" s="7"/>
    </row>
    <row r="18" spans="1:7" x14ac:dyDescent="0.25">
      <c r="A18" s="8">
        <v>11</v>
      </c>
      <c r="B18" s="8" t="s">
        <v>36</v>
      </c>
      <c r="C18" s="9">
        <v>1615</v>
      </c>
      <c r="D18" s="9">
        <v>5015</v>
      </c>
      <c r="E18" s="10">
        <v>327</v>
      </c>
      <c r="F18" s="9">
        <v>4932204</v>
      </c>
      <c r="G18" s="7"/>
    </row>
    <row r="19" spans="1:7" ht="63" x14ac:dyDescent="0.25">
      <c r="A19" s="8">
        <v>12</v>
      </c>
      <c r="B19" s="8" t="s">
        <v>16</v>
      </c>
      <c r="C19" s="9">
        <v>100545</v>
      </c>
      <c r="D19" s="9">
        <v>5215</v>
      </c>
      <c r="E19" s="10">
        <v>304</v>
      </c>
      <c r="F19" s="9">
        <v>330811717</v>
      </c>
      <c r="G19" s="7" t="s">
        <v>235</v>
      </c>
    </row>
    <row r="20" spans="1:7" x14ac:dyDescent="0.25">
      <c r="A20" s="8">
        <v>13</v>
      </c>
      <c r="B20" s="8" t="s">
        <v>122</v>
      </c>
      <c r="C20" s="10">
        <v>24</v>
      </c>
      <c r="D20" s="9">
        <v>3953</v>
      </c>
      <c r="E20" s="10">
        <v>282</v>
      </c>
      <c r="F20" s="9">
        <v>84989</v>
      </c>
      <c r="G20" s="7"/>
    </row>
    <row r="21" spans="1:7" x14ac:dyDescent="0.25">
      <c r="A21" s="8">
        <v>14</v>
      </c>
      <c r="B21" s="8" t="s">
        <v>106</v>
      </c>
      <c r="C21" s="10">
        <v>45</v>
      </c>
      <c r="D21" s="9">
        <v>3218</v>
      </c>
      <c r="E21" s="10">
        <v>259</v>
      </c>
      <c r="F21" s="9">
        <v>173702</v>
      </c>
      <c r="G21" s="7"/>
    </row>
    <row r="22" spans="1:7" x14ac:dyDescent="0.25">
      <c r="A22" s="8">
        <v>15</v>
      </c>
      <c r="B22" s="8" t="s">
        <v>35</v>
      </c>
      <c r="C22" s="9">
        <v>1915</v>
      </c>
      <c r="D22" s="9">
        <v>3557</v>
      </c>
      <c r="E22" s="10">
        <v>221</v>
      </c>
      <c r="F22" s="9">
        <v>8648347</v>
      </c>
      <c r="G22" s="7"/>
    </row>
    <row r="23" spans="1:7" x14ac:dyDescent="0.25">
      <c r="A23" s="8">
        <v>16</v>
      </c>
      <c r="B23" s="8" t="s">
        <v>199</v>
      </c>
      <c r="C23" s="10">
        <v>1</v>
      </c>
      <c r="D23" s="9">
        <v>2204</v>
      </c>
      <c r="E23" s="10">
        <v>200</v>
      </c>
      <c r="F23" s="9">
        <v>4992</v>
      </c>
      <c r="G23" s="7"/>
    </row>
    <row r="24" spans="1:7" x14ac:dyDescent="0.25">
      <c r="A24" s="8">
        <v>17</v>
      </c>
      <c r="B24" s="8" t="s">
        <v>34</v>
      </c>
      <c r="C24" s="9">
        <v>3203</v>
      </c>
      <c r="D24" s="9">
        <v>2121</v>
      </c>
      <c r="E24" s="10">
        <v>182</v>
      </c>
      <c r="F24" s="9">
        <v>17615358</v>
      </c>
      <c r="G24" s="7"/>
    </row>
    <row r="25" spans="1:7" x14ac:dyDescent="0.25">
      <c r="A25" s="8">
        <v>18</v>
      </c>
      <c r="B25" s="8" t="s">
        <v>26</v>
      </c>
      <c r="C25" s="9">
        <v>6639</v>
      </c>
      <c r="D25" s="9">
        <v>2298</v>
      </c>
      <c r="E25" s="10">
        <v>176</v>
      </c>
      <c r="F25" s="9">
        <v>37709091</v>
      </c>
      <c r="G25" s="7"/>
    </row>
    <row r="26" spans="1:7" x14ac:dyDescent="0.25">
      <c r="A26" s="8">
        <v>19</v>
      </c>
      <c r="B26" s="8" t="s">
        <v>84</v>
      </c>
      <c r="C26" s="10">
        <v>110</v>
      </c>
      <c r="D26" s="9">
        <v>6393</v>
      </c>
      <c r="E26" s="10">
        <v>176</v>
      </c>
      <c r="F26" s="9">
        <v>624919</v>
      </c>
      <c r="G26" s="7"/>
    </row>
    <row r="27" spans="1:7" x14ac:dyDescent="0.25">
      <c r="A27" s="8">
        <v>20</v>
      </c>
      <c r="B27" s="8" t="s">
        <v>157</v>
      </c>
      <c r="C27" s="10">
        <v>9</v>
      </c>
      <c r="D27" s="9">
        <v>2231</v>
      </c>
      <c r="E27" s="10">
        <v>144</v>
      </c>
      <c r="F27" s="9">
        <v>62299</v>
      </c>
      <c r="G27" s="7"/>
    </row>
    <row r="28" spans="1:7" x14ac:dyDescent="0.25">
      <c r="A28" s="8">
        <v>21</v>
      </c>
      <c r="B28" s="8" t="s">
        <v>38</v>
      </c>
      <c r="C28" s="9">
        <v>1342</v>
      </c>
      <c r="D28" s="9">
        <v>3040</v>
      </c>
      <c r="E28" s="10">
        <v>132</v>
      </c>
      <c r="F28" s="9">
        <v>10199497</v>
      </c>
      <c r="G28" s="7"/>
    </row>
    <row r="29" spans="1:7" x14ac:dyDescent="0.25">
      <c r="A29" s="8">
        <v>22</v>
      </c>
      <c r="B29" s="8" t="s">
        <v>21</v>
      </c>
      <c r="C29" s="9">
        <v>24512</v>
      </c>
      <c r="D29" s="9">
        <v>1842</v>
      </c>
      <c r="E29" s="10">
        <v>115</v>
      </c>
      <c r="F29" s="9">
        <v>212409786</v>
      </c>
      <c r="G29" s="7"/>
    </row>
    <row r="30" spans="1:7" x14ac:dyDescent="0.25">
      <c r="A30" s="8">
        <v>23</v>
      </c>
      <c r="B30" s="8" t="s">
        <v>33</v>
      </c>
      <c r="C30" s="9">
        <v>3788</v>
      </c>
      <c r="D30" s="9">
        <v>3941</v>
      </c>
      <c r="E30" s="10">
        <v>115</v>
      </c>
      <c r="F30" s="9">
        <v>32924686</v>
      </c>
      <c r="G30" s="7"/>
    </row>
    <row r="31" spans="1:7" x14ac:dyDescent="0.25">
      <c r="A31" s="8">
        <v>24</v>
      </c>
      <c r="B31" s="8" t="s">
        <v>173</v>
      </c>
      <c r="C31" s="10">
        <v>4</v>
      </c>
      <c r="D31" s="9">
        <v>2499</v>
      </c>
      <c r="E31" s="10">
        <v>102</v>
      </c>
      <c r="F31" s="9">
        <v>39214</v>
      </c>
      <c r="G31" s="7"/>
    </row>
    <row r="32" spans="1:7" x14ac:dyDescent="0.25">
      <c r="A32" s="8">
        <v>25</v>
      </c>
      <c r="B32" s="8" t="s">
        <v>23</v>
      </c>
      <c r="C32" s="9">
        <v>8498</v>
      </c>
      <c r="D32" s="9">
        <v>2164</v>
      </c>
      <c r="E32" s="10">
        <v>101</v>
      </c>
      <c r="F32" s="9">
        <v>83757965</v>
      </c>
      <c r="G32" s="7"/>
    </row>
    <row r="33" spans="1:7" x14ac:dyDescent="0.25">
      <c r="A33" s="8">
        <v>26</v>
      </c>
      <c r="B33" s="8" t="s">
        <v>51</v>
      </c>
      <c r="C33" s="10">
        <v>563</v>
      </c>
      <c r="D33" s="9">
        <v>1974</v>
      </c>
      <c r="E33" s="10">
        <v>97</v>
      </c>
      <c r="F33" s="9">
        <v>5790221</v>
      </c>
      <c r="G33" s="7"/>
    </row>
    <row r="34" spans="1:7" x14ac:dyDescent="0.25">
      <c r="A34" s="8">
        <v>27</v>
      </c>
      <c r="B34" s="8" t="s">
        <v>25</v>
      </c>
      <c r="C34" s="9">
        <v>7508</v>
      </c>
      <c r="D34" s="9">
        <v>1663</v>
      </c>
      <c r="E34" s="10">
        <v>90</v>
      </c>
      <c r="F34" s="9">
        <v>83883203</v>
      </c>
      <c r="G34" s="7"/>
    </row>
    <row r="35" spans="1:7" x14ac:dyDescent="0.25">
      <c r="A35" s="8">
        <v>28</v>
      </c>
      <c r="B35" s="8" t="s">
        <v>180</v>
      </c>
      <c r="C35" s="10">
        <v>3</v>
      </c>
      <c r="D35" s="9">
        <v>1036</v>
      </c>
      <c r="E35" s="10">
        <v>78</v>
      </c>
      <c r="F35" s="9">
        <v>38597</v>
      </c>
      <c r="G35" s="7"/>
    </row>
    <row r="36" spans="1:7" x14ac:dyDescent="0.25">
      <c r="A36" s="8">
        <v>29</v>
      </c>
      <c r="B36" s="8" t="s">
        <v>129</v>
      </c>
      <c r="C36" s="10">
        <v>20</v>
      </c>
      <c r="D36" s="9">
        <v>6005</v>
      </c>
      <c r="E36" s="10">
        <v>74</v>
      </c>
      <c r="F36" s="9">
        <v>272102</v>
      </c>
      <c r="G36" s="7"/>
    </row>
    <row r="37" spans="1:7" x14ac:dyDescent="0.25">
      <c r="A37" s="8">
        <v>30</v>
      </c>
      <c r="B37" s="8" t="s">
        <v>59</v>
      </c>
      <c r="C37" s="10">
        <v>313</v>
      </c>
      <c r="D37" s="9">
        <v>2657</v>
      </c>
      <c r="E37" s="10">
        <v>73</v>
      </c>
      <c r="F37" s="9">
        <v>4307725</v>
      </c>
      <c r="G37" s="7"/>
    </row>
    <row r="38" spans="1:7" x14ac:dyDescent="0.25">
      <c r="A38" s="8">
        <v>31</v>
      </c>
      <c r="B38" s="8" t="s">
        <v>49</v>
      </c>
      <c r="C38" s="10">
        <v>643</v>
      </c>
      <c r="D38" s="9">
        <v>1839</v>
      </c>
      <c r="E38" s="10">
        <v>71</v>
      </c>
      <c r="F38" s="9">
        <v>9001347</v>
      </c>
      <c r="G38" s="7"/>
    </row>
    <row r="39" spans="1:7" x14ac:dyDescent="0.25">
      <c r="A39" s="8">
        <v>32</v>
      </c>
      <c r="B39" s="8" t="s">
        <v>64</v>
      </c>
      <c r="C39" s="10">
        <v>267</v>
      </c>
      <c r="D39" s="9">
        <v>1810</v>
      </c>
      <c r="E39" s="10">
        <v>66</v>
      </c>
      <c r="F39" s="9">
        <v>4034845</v>
      </c>
      <c r="G39" s="7"/>
    </row>
    <row r="40" spans="1:7" x14ac:dyDescent="0.25">
      <c r="A40" s="8">
        <v>33</v>
      </c>
      <c r="B40" s="8" t="s">
        <v>39</v>
      </c>
      <c r="C40" s="9">
        <v>1216</v>
      </c>
      <c r="D40" s="10">
        <v>957</v>
      </c>
      <c r="E40" s="10">
        <v>63</v>
      </c>
      <c r="F40" s="9">
        <v>19249480</v>
      </c>
      <c r="G40" s="7"/>
    </row>
    <row r="41" spans="1:7" x14ac:dyDescent="0.25">
      <c r="A41" s="8">
        <v>34</v>
      </c>
      <c r="B41" s="8" t="s">
        <v>24</v>
      </c>
      <c r="C41" s="9">
        <v>7633</v>
      </c>
      <c r="D41" s="10">
        <v>552</v>
      </c>
      <c r="E41" s="10">
        <v>59</v>
      </c>
      <c r="F41" s="9">
        <v>128796145</v>
      </c>
      <c r="G41" s="7"/>
    </row>
    <row r="42" spans="1:7" x14ac:dyDescent="0.25">
      <c r="A42" s="8">
        <v>35</v>
      </c>
      <c r="B42" s="8" t="s">
        <v>60</v>
      </c>
      <c r="C42" s="10">
        <v>312</v>
      </c>
      <c r="D42" s="9">
        <v>1196</v>
      </c>
      <c r="E42" s="10">
        <v>56</v>
      </c>
      <c r="F42" s="9">
        <v>5539893</v>
      </c>
      <c r="G42" s="7"/>
    </row>
    <row r="43" spans="1:7" x14ac:dyDescent="0.25">
      <c r="A43" s="8">
        <v>36</v>
      </c>
      <c r="B43" s="8" t="s">
        <v>82</v>
      </c>
      <c r="C43" s="10">
        <v>116</v>
      </c>
      <c r="D43" s="10">
        <v>967</v>
      </c>
      <c r="E43" s="10">
        <v>56</v>
      </c>
      <c r="F43" s="9">
        <v>2083382</v>
      </c>
      <c r="G43" s="7"/>
    </row>
    <row r="44" spans="1:7" x14ac:dyDescent="0.25">
      <c r="A44" s="8">
        <v>37</v>
      </c>
      <c r="B44" s="8" t="s">
        <v>145</v>
      </c>
      <c r="C44" s="10">
        <v>12</v>
      </c>
      <c r="D44" s="9">
        <v>2016</v>
      </c>
      <c r="E44" s="10">
        <v>55</v>
      </c>
      <c r="F44" s="9">
        <v>218731</v>
      </c>
      <c r="G44" s="7"/>
    </row>
    <row r="45" spans="1:7" x14ac:dyDescent="0.25">
      <c r="A45" s="8">
        <v>38</v>
      </c>
      <c r="B45" s="8" t="s">
        <v>29</v>
      </c>
      <c r="C45" s="9">
        <v>4397</v>
      </c>
      <c r="D45" s="9">
        <v>1884</v>
      </c>
      <c r="E45" s="10">
        <v>52</v>
      </c>
      <c r="F45" s="9">
        <v>84247422</v>
      </c>
      <c r="G45" s="7"/>
    </row>
    <row r="46" spans="1:7" x14ac:dyDescent="0.25">
      <c r="A46" s="8">
        <v>39</v>
      </c>
      <c r="B46" s="8" t="s">
        <v>54</v>
      </c>
      <c r="C46" s="10">
        <v>499</v>
      </c>
      <c r="D46" s="10">
        <v>390</v>
      </c>
      <c r="E46" s="10">
        <v>52</v>
      </c>
      <c r="F46" s="9">
        <v>9662656</v>
      </c>
      <c r="G46" s="7"/>
    </row>
    <row r="47" spans="1:7" x14ac:dyDescent="0.25">
      <c r="A47" s="8">
        <v>40</v>
      </c>
      <c r="B47" s="8" t="s">
        <v>85</v>
      </c>
      <c r="C47" s="10">
        <v>108</v>
      </c>
      <c r="D47" s="10">
        <v>707</v>
      </c>
      <c r="E47" s="10">
        <v>52</v>
      </c>
      <c r="F47" s="9">
        <v>2078911</v>
      </c>
      <c r="G47" s="7"/>
    </row>
    <row r="48" spans="1:7" x14ac:dyDescent="0.25">
      <c r="A48" s="8">
        <v>41</v>
      </c>
      <c r="B48" s="8" t="s">
        <v>93</v>
      </c>
      <c r="C48" s="10">
        <v>65</v>
      </c>
      <c r="D48" s="9">
        <v>1383</v>
      </c>
      <c r="E48" s="10">
        <v>49</v>
      </c>
      <c r="F48" s="9">
        <v>1326450</v>
      </c>
      <c r="G48" s="7"/>
    </row>
    <row r="49" spans="1:7" x14ac:dyDescent="0.25">
      <c r="A49" s="8">
        <v>42</v>
      </c>
      <c r="B49" s="8" t="s">
        <v>80</v>
      </c>
      <c r="C49" s="10">
        <v>149</v>
      </c>
      <c r="D49" s="10">
        <v>736</v>
      </c>
      <c r="E49" s="10">
        <v>45</v>
      </c>
      <c r="F49" s="9">
        <v>3282698</v>
      </c>
      <c r="G49" s="7"/>
    </row>
    <row r="50" spans="1:7" x14ac:dyDescent="0.25">
      <c r="A50" s="8">
        <v>43</v>
      </c>
      <c r="B50" s="8" t="s">
        <v>56</v>
      </c>
      <c r="C50" s="10">
        <v>468</v>
      </c>
      <c r="D50" s="9">
        <v>1409</v>
      </c>
      <c r="E50" s="10">
        <v>43</v>
      </c>
      <c r="F50" s="9">
        <v>10836968</v>
      </c>
      <c r="G50" s="7"/>
    </row>
    <row r="51" spans="1:7" x14ac:dyDescent="0.25">
      <c r="A51" s="8">
        <v>44</v>
      </c>
      <c r="B51" s="8" t="s">
        <v>69</v>
      </c>
      <c r="C51" s="10">
        <v>235</v>
      </c>
      <c r="D51" s="9">
        <v>1548</v>
      </c>
      <c r="E51" s="10">
        <v>43</v>
      </c>
      <c r="F51" s="9">
        <v>5417027</v>
      </c>
      <c r="G51" s="7"/>
    </row>
    <row r="52" spans="1:7" x14ac:dyDescent="0.25">
      <c r="A52" s="8">
        <v>45</v>
      </c>
      <c r="B52" s="8" t="s">
        <v>44</v>
      </c>
      <c r="C52" s="10">
        <v>806</v>
      </c>
      <c r="D52" s="9">
        <v>4082</v>
      </c>
      <c r="E52" s="10">
        <v>42</v>
      </c>
      <c r="F52" s="9">
        <v>19099822</v>
      </c>
      <c r="G52" s="7"/>
    </row>
    <row r="53" spans="1:7" x14ac:dyDescent="0.25">
      <c r="A53" s="8">
        <v>46</v>
      </c>
      <c r="B53" s="8" t="s">
        <v>77</v>
      </c>
      <c r="C53" s="10">
        <v>172</v>
      </c>
      <c r="D53" s="9">
        <v>5294</v>
      </c>
      <c r="E53" s="10">
        <v>40</v>
      </c>
      <c r="F53" s="9">
        <v>4264055</v>
      </c>
      <c r="G53" s="7"/>
    </row>
    <row r="54" spans="1:7" x14ac:dyDescent="0.25">
      <c r="A54" s="8">
        <v>47</v>
      </c>
      <c r="B54" s="8" t="s">
        <v>138</v>
      </c>
      <c r="C54" s="10">
        <v>14</v>
      </c>
      <c r="D54" s="10">
        <v>525</v>
      </c>
      <c r="E54" s="10">
        <v>37</v>
      </c>
      <c r="F54" s="9">
        <v>375293</v>
      </c>
      <c r="G54" s="7"/>
    </row>
    <row r="55" spans="1:7" x14ac:dyDescent="0.25">
      <c r="A55" s="8">
        <v>48</v>
      </c>
      <c r="B55" s="8" t="s">
        <v>139</v>
      </c>
      <c r="C55" s="10">
        <v>14</v>
      </c>
      <c r="D55" s="10">
        <v>402</v>
      </c>
      <c r="E55" s="10">
        <v>35</v>
      </c>
      <c r="F55" s="9">
        <v>400117</v>
      </c>
      <c r="G55" s="7"/>
    </row>
    <row r="56" spans="1:7" x14ac:dyDescent="0.25">
      <c r="A56" s="8">
        <v>49</v>
      </c>
      <c r="B56" s="8" t="s">
        <v>202</v>
      </c>
      <c r="C56" s="10">
        <v>1</v>
      </c>
      <c r="D56" s="10">
        <v>265</v>
      </c>
      <c r="E56" s="10">
        <v>33</v>
      </c>
      <c r="F56" s="9">
        <v>30211</v>
      </c>
      <c r="G56" s="7"/>
    </row>
    <row r="57" spans="1:7" x14ac:dyDescent="0.25">
      <c r="A57" s="8">
        <v>50</v>
      </c>
      <c r="B57" s="8" t="s">
        <v>61</v>
      </c>
      <c r="C57" s="10">
        <v>281</v>
      </c>
      <c r="D57" s="9">
        <v>1822</v>
      </c>
      <c r="E57" s="10">
        <v>31</v>
      </c>
      <c r="F57" s="9">
        <v>9197590</v>
      </c>
      <c r="G57" s="7"/>
    </row>
    <row r="58" spans="1:7" x14ac:dyDescent="0.25">
      <c r="A58" s="8">
        <v>51</v>
      </c>
      <c r="B58" s="8" t="s">
        <v>88</v>
      </c>
      <c r="C58" s="10">
        <v>91</v>
      </c>
      <c r="D58" s="9">
        <v>2498</v>
      </c>
      <c r="E58" s="10">
        <v>31</v>
      </c>
      <c r="F58" s="9">
        <v>2962710</v>
      </c>
      <c r="G58" s="7"/>
    </row>
    <row r="59" spans="1:7" x14ac:dyDescent="0.25">
      <c r="A59" s="8">
        <v>52</v>
      </c>
      <c r="B59" s="8" t="s">
        <v>181</v>
      </c>
      <c r="C59" s="10">
        <v>3</v>
      </c>
      <c r="D59" s="10">
        <v>255</v>
      </c>
      <c r="E59" s="10">
        <v>31</v>
      </c>
      <c r="F59" s="9">
        <v>97848</v>
      </c>
      <c r="G59" s="7"/>
    </row>
    <row r="60" spans="1:7" x14ac:dyDescent="0.25">
      <c r="A60" s="8">
        <v>53</v>
      </c>
      <c r="B60" s="8" t="s">
        <v>58</v>
      </c>
      <c r="C60" s="10">
        <v>317</v>
      </c>
      <c r="D60" s="10">
        <v>845</v>
      </c>
      <c r="E60" s="10">
        <v>30</v>
      </c>
      <c r="F60" s="9">
        <v>10707069</v>
      </c>
      <c r="G60" s="7"/>
    </row>
    <row r="61" spans="1:7" x14ac:dyDescent="0.25">
      <c r="A61" s="8">
        <v>54</v>
      </c>
      <c r="B61" s="8" t="s">
        <v>150</v>
      </c>
      <c r="C61" s="10">
        <v>10</v>
      </c>
      <c r="D61" s="9">
        <v>5290</v>
      </c>
      <c r="E61" s="10">
        <v>29</v>
      </c>
      <c r="F61" s="9">
        <v>341024</v>
      </c>
      <c r="G61" s="7"/>
    </row>
    <row r="62" spans="1:7" x14ac:dyDescent="0.25">
      <c r="A62" s="8">
        <v>55</v>
      </c>
      <c r="B62" s="8" t="s">
        <v>149</v>
      </c>
      <c r="C62" s="10">
        <v>11</v>
      </c>
      <c r="D62" s="10">
        <v>255</v>
      </c>
      <c r="E62" s="10">
        <v>28</v>
      </c>
      <c r="F62" s="9">
        <v>392867</v>
      </c>
      <c r="G62" s="7"/>
    </row>
    <row r="63" spans="1:7" x14ac:dyDescent="0.25">
      <c r="A63" s="8">
        <v>56</v>
      </c>
      <c r="B63" s="8" t="s">
        <v>178</v>
      </c>
      <c r="C63" s="10">
        <v>3</v>
      </c>
      <c r="D63" s="10">
        <v>946</v>
      </c>
      <c r="E63" s="10">
        <v>28</v>
      </c>
      <c r="F63" s="9">
        <v>106722</v>
      </c>
      <c r="G63" s="7"/>
    </row>
    <row r="64" spans="1:7" x14ac:dyDescent="0.25">
      <c r="A64" s="8">
        <v>57</v>
      </c>
      <c r="B64" s="8" t="s">
        <v>41</v>
      </c>
      <c r="C64" s="9">
        <v>1024</v>
      </c>
      <c r="D64" s="10">
        <v>583</v>
      </c>
      <c r="E64" s="10">
        <v>27</v>
      </c>
      <c r="F64" s="9">
        <v>37850537</v>
      </c>
      <c r="G64" s="7"/>
    </row>
    <row r="65" spans="1:7" x14ac:dyDescent="0.25">
      <c r="A65" s="8">
        <v>58</v>
      </c>
      <c r="B65" s="8" t="s">
        <v>68</v>
      </c>
      <c r="C65" s="10">
        <v>239</v>
      </c>
      <c r="D65" s="9">
        <v>1284</v>
      </c>
      <c r="E65" s="10">
        <v>27</v>
      </c>
      <c r="F65" s="9">
        <v>8740651</v>
      </c>
      <c r="G65" s="7"/>
    </row>
    <row r="66" spans="1:7" x14ac:dyDescent="0.25">
      <c r="A66" s="8">
        <v>59</v>
      </c>
      <c r="B66" s="8" t="s">
        <v>32</v>
      </c>
      <c r="C66" s="9">
        <v>3807</v>
      </c>
      <c r="D66" s="9">
        <v>2483</v>
      </c>
      <c r="E66" s="10">
        <v>26</v>
      </c>
      <c r="F66" s="9">
        <v>145928485</v>
      </c>
      <c r="G66" s="7"/>
    </row>
    <row r="67" spans="1:7" x14ac:dyDescent="0.25">
      <c r="A67" s="8">
        <v>60</v>
      </c>
      <c r="B67" s="8" t="s">
        <v>66</v>
      </c>
      <c r="C67" s="10">
        <v>253</v>
      </c>
      <c r="D67" s="9">
        <v>3147</v>
      </c>
      <c r="E67" s="10">
        <v>26</v>
      </c>
      <c r="F67" s="9">
        <v>9878250</v>
      </c>
      <c r="G67" s="7"/>
    </row>
    <row r="68" spans="1:7" x14ac:dyDescent="0.25">
      <c r="A68" s="8">
        <v>61</v>
      </c>
      <c r="B68" s="8" t="s">
        <v>193</v>
      </c>
      <c r="C68" s="10">
        <v>1</v>
      </c>
      <c r="D68" s="9">
        <v>2151</v>
      </c>
      <c r="E68" s="10">
        <v>26</v>
      </c>
      <c r="F68" s="9">
        <v>38117</v>
      </c>
      <c r="G68" s="7"/>
    </row>
    <row r="69" spans="1:7" x14ac:dyDescent="0.25">
      <c r="A69" s="8">
        <v>62</v>
      </c>
      <c r="B69" s="8" t="s">
        <v>198</v>
      </c>
      <c r="C69" s="10">
        <v>1</v>
      </c>
      <c r="D69" s="10">
        <v>310</v>
      </c>
      <c r="E69" s="10">
        <v>26</v>
      </c>
      <c r="F69" s="9">
        <v>38663</v>
      </c>
      <c r="G69" s="7"/>
    </row>
    <row r="70" spans="1:7" x14ac:dyDescent="0.25">
      <c r="A70" s="8">
        <v>63</v>
      </c>
      <c r="B70" s="8" t="s">
        <v>87</v>
      </c>
      <c r="C70" s="10">
        <v>101</v>
      </c>
      <c r="D70" s="10">
        <v>546</v>
      </c>
      <c r="E70" s="10">
        <v>25</v>
      </c>
      <c r="F70" s="9">
        <v>4107599</v>
      </c>
      <c r="G70" s="7"/>
    </row>
    <row r="71" spans="1:7" x14ac:dyDescent="0.25">
      <c r="A71" s="8">
        <v>64</v>
      </c>
      <c r="B71" s="8" t="s">
        <v>94</v>
      </c>
      <c r="C71" s="10">
        <v>65</v>
      </c>
      <c r="D71" s="10">
        <v>601</v>
      </c>
      <c r="E71" s="10">
        <v>24</v>
      </c>
      <c r="F71" s="9">
        <v>2725640</v>
      </c>
      <c r="G71" s="7"/>
    </row>
    <row r="72" spans="1:7" x14ac:dyDescent="0.25">
      <c r="A72" s="8">
        <v>65</v>
      </c>
      <c r="B72" s="8" t="s">
        <v>163</v>
      </c>
      <c r="C72" s="10">
        <v>7</v>
      </c>
      <c r="D72" s="10">
        <v>320</v>
      </c>
      <c r="E72" s="10">
        <v>24</v>
      </c>
      <c r="F72" s="9">
        <v>287341</v>
      </c>
      <c r="G72" s="7"/>
    </row>
    <row r="73" spans="1:7" x14ac:dyDescent="0.25">
      <c r="A73" s="8">
        <v>66</v>
      </c>
      <c r="B73" s="8" t="s">
        <v>65</v>
      </c>
      <c r="C73" s="10">
        <v>261</v>
      </c>
      <c r="D73" s="10">
        <v>571</v>
      </c>
      <c r="E73" s="10">
        <v>22</v>
      </c>
      <c r="F73" s="9">
        <v>11656694</v>
      </c>
      <c r="G73" s="7"/>
    </row>
    <row r="74" spans="1:7" x14ac:dyDescent="0.25">
      <c r="A74" s="8">
        <v>67</v>
      </c>
      <c r="B74" s="8" t="s">
        <v>71</v>
      </c>
      <c r="C74" s="10">
        <v>208</v>
      </c>
      <c r="D74" s="9">
        <v>4028</v>
      </c>
      <c r="E74" s="10">
        <v>22</v>
      </c>
      <c r="F74" s="9">
        <v>9449619</v>
      </c>
      <c r="G74" s="7"/>
    </row>
    <row r="75" spans="1:7" x14ac:dyDescent="0.25">
      <c r="A75" s="8">
        <v>68</v>
      </c>
      <c r="B75" s="8" t="s">
        <v>81</v>
      </c>
      <c r="C75" s="10">
        <v>130</v>
      </c>
      <c r="D75" s="10">
        <v>351</v>
      </c>
      <c r="E75" s="10">
        <v>19</v>
      </c>
      <c r="F75" s="9">
        <v>6953227</v>
      </c>
      <c r="G75" s="7"/>
    </row>
    <row r="76" spans="1:7" x14ac:dyDescent="0.25">
      <c r="A76" s="8">
        <v>69</v>
      </c>
      <c r="B76" s="8" t="s">
        <v>73</v>
      </c>
      <c r="C76" s="10">
        <v>182</v>
      </c>
      <c r="D76" s="10">
        <v>424</v>
      </c>
      <c r="E76" s="10">
        <v>18</v>
      </c>
      <c r="F76" s="9">
        <v>9888260</v>
      </c>
      <c r="G76" s="7"/>
    </row>
    <row r="77" spans="1:7" ht="47.25" x14ac:dyDescent="0.25">
      <c r="A77" s="8">
        <v>70</v>
      </c>
      <c r="B77" s="8" t="s">
        <v>75</v>
      </c>
      <c r="C77" s="10">
        <v>173</v>
      </c>
      <c r="D77" s="10">
        <v>277</v>
      </c>
      <c r="E77" s="10">
        <v>17</v>
      </c>
      <c r="F77" s="9">
        <v>10427777</v>
      </c>
      <c r="G77" s="7" t="s">
        <v>76</v>
      </c>
    </row>
    <row r="78" spans="1:7" x14ac:dyDescent="0.25">
      <c r="A78" s="8">
        <v>71</v>
      </c>
      <c r="B78" s="8" t="s">
        <v>47</v>
      </c>
      <c r="C78" s="10">
        <v>776</v>
      </c>
      <c r="D78" s="10">
        <v>453</v>
      </c>
      <c r="E78" s="10">
        <v>15</v>
      </c>
      <c r="F78" s="9">
        <v>50828154</v>
      </c>
      <c r="G78" s="7"/>
    </row>
    <row r="79" spans="1:7" x14ac:dyDescent="0.25">
      <c r="A79" s="8">
        <v>72</v>
      </c>
      <c r="B79" s="8" t="s">
        <v>48</v>
      </c>
      <c r="C79" s="10">
        <v>644</v>
      </c>
      <c r="D79" s="10">
        <v>493</v>
      </c>
      <c r="E79" s="10">
        <v>15</v>
      </c>
      <c r="F79" s="9">
        <v>43757987</v>
      </c>
      <c r="G79" s="7"/>
    </row>
    <row r="80" spans="1:7" x14ac:dyDescent="0.25">
      <c r="A80" s="8">
        <v>73</v>
      </c>
      <c r="B80" s="8" t="s">
        <v>191</v>
      </c>
      <c r="C80" s="10">
        <v>1</v>
      </c>
      <c r="D80" s="9">
        <v>2041</v>
      </c>
      <c r="E80" s="10">
        <v>15</v>
      </c>
      <c r="F80" s="9">
        <v>65644</v>
      </c>
      <c r="G80" s="7"/>
    </row>
    <row r="81" spans="1:7" x14ac:dyDescent="0.25">
      <c r="A81" s="8">
        <v>74</v>
      </c>
      <c r="B81" s="8" t="s">
        <v>50</v>
      </c>
      <c r="C81" s="10">
        <v>617</v>
      </c>
      <c r="D81" s="10">
        <v>199</v>
      </c>
      <c r="E81" s="10">
        <v>14</v>
      </c>
      <c r="F81" s="9">
        <v>43767938</v>
      </c>
      <c r="G81" s="7"/>
    </row>
    <row r="82" spans="1:7" x14ac:dyDescent="0.25">
      <c r="A82" s="8">
        <v>75</v>
      </c>
      <c r="B82" s="8" t="s">
        <v>130</v>
      </c>
      <c r="C82" s="10">
        <v>17</v>
      </c>
      <c r="D82" s="10">
        <v>778</v>
      </c>
      <c r="E82" s="10">
        <v>14</v>
      </c>
      <c r="F82" s="9">
        <v>1206488</v>
      </c>
      <c r="G82" s="7"/>
    </row>
    <row r="83" spans="1:7" x14ac:dyDescent="0.25">
      <c r="A83" s="8">
        <v>76</v>
      </c>
      <c r="B83" s="8" t="s">
        <v>136</v>
      </c>
      <c r="C83" s="10">
        <v>14</v>
      </c>
      <c r="D83" s="9">
        <v>2502</v>
      </c>
      <c r="E83" s="10">
        <v>14</v>
      </c>
      <c r="F83" s="9">
        <v>986520</v>
      </c>
      <c r="G83" s="7"/>
    </row>
    <row r="84" spans="1:7" x14ac:dyDescent="0.25">
      <c r="A84" s="8">
        <v>77</v>
      </c>
      <c r="B84" s="8" t="s">
        <v>148</v>
      </c>
      <c r="C84" s="10">
        <v>11</v>
      </c>
      <c r="D84" s="10">
        <v>177</v>
      </c>
      <c r="E84" s="10">
        <v>14</v>
      </c>
      <c r="F84" s="9">
        <v>786181</v>
      </c>
      <c r="G84" s="7"/>
    </row>
    <row r="85" spans="1:7" x14ac:dyDescent="0.25">
      <c r="A85" s="8">
        <v>78</v>
      </c>
      <c r="B85" s="8" t="s">
        <v>156</v>
      </c>
      <c r="C85" s="10">
        <v>9</v>
      </c>
      <c r="D85" s="10">
        <v>516</v>
      </c>
      <c r="E85" s="10">
        <v>14</v>
      </c>
      <c r="F85" s="9">
        <v>628058</v>
      </c>
      <c r="G85" s="7"/>
    </row>
    <row r="86" spans="1:7" x14ac:dyDescent="0.25">
      <c r="A86" s="8">
        <v>79</v>
      </c>
      <c r="B86" s="8" t="s">
        <v>165</v>
      </c>
      <c r="C86" s="10">
        <v>6</v>
      </c>
      <c r="D86" s="9">
        <v>1384</v>
      </c>
      <c r="E86" s="10">
        <v>14</v>
      </c>
      <c r="F86" s="9">
        <v>441429</v>
      </c>
      <c r="G86" s="7"/>
    </row>
    <row r="87" spans="1:7" x14ac:dyDescent="0.25">
      <c r="A87" s="8">
        <v>80</v>
      </c>
      <c r="B87" s="8" t="s">
        <v>57</v>
      </c>
      <c r="C87" s="10">
        <v>411</v>
      </c>
      <c r="D87" s="9">
        <v>2207</v>
      </c>
      <c r="E87" s="10">
        <v>12</v>
      </c>
      <c r="F87" s="9">
        <v>34757706</v>
      </c>
      <c r="G87" s="7"/>
    </row>
    <row r="88" spans="1:7" x14ac:dyDescent="0.25">
      <c r="A88" s="8">
        <v>81</v>
      </c>
      <c r="B88" s="8" t="s">
        <v>124</v>
      </c>
      <c r="C88" s="10">
        <v>22</v>
      </c>
      <c r="D88" s="10">
        <v>558</v>
      </c>
      <c r="E88" s="10">
        <v>12</v>
      </c>
      <c r="F88" s="9">
        <v>1888068</v>
      </c>
      <c r="G88" s="7"/>
    </row>
    <row r="89" spans="1:7" x14ac:dyDescent="0.25">
      <c r="A89" s="8">
        <v>82</v>
      </c>
      <c r="B89" s="8" t="s">
        <v>55</v>
      </c>
      <c r="C89" s="10">
        <v>490</v>
      </c>
      <c r="D89" s="10">
        <v>293</v>
      </c>
      <c r="E89" s="10">
        <v>11</v>
      </c>
      <c r="F89" s="9">
        <v>45154246</v>
      </c>
      <c r="G89" s="7"/>
    </row>
    <row r="90" spans="1:7" x14ac:dyDescent="0.25">
      <c r="A90" s="8">
        <v>83</v>
      </c>
      <c r="B90" s="8" t="s">
        <v>115</v>
      </c>
      <c r="C90" s="10">
        <v>33</v>
      </c>
      <c r="D90" s="10">
        <v>358</v>
      </c>
      <c r="E90" s="10">
        <v>11</v>
      </c>
      <c r="F90" s="9">
        <v>2878095</v>
      </c>
      <c r="G90" s="7"/>
    </row>
    <row r="91" spans="1:7" x14ac:dyDescent="0.25">
      <c r="A91" s="8">
        <v>84</v>
      </c>
      <c r="B91" s="8" t="s">
        <v>118</v>
      </c>
      <c r="C91" s="10">
        <v>28</v>
      </c>
      <c r="D91" s="9">
        <v>16414</v>
      </c>
      <c r="E91" s="10">
        <v>10</v>
      </c>
      <c r="F91" s="9">
        <v>2875978</v>
      </c>
      <c r="G91" s="7"/>
    </row>
    <row r="92" spans="1:7" x14ac:dyDescent="0.25">
      <c r="A92" s="8">
        <v>85</v>
      </c>
      <c r="B92" s="8" t="s">
        <v>52</v>
      </c>
      <c r="C92" s="10">
        <v>524</v>
      </c>
      <c r="D92" s="10">
        <v>410</v>
      </c>
      <c r="E92" s="10">
        <v>9</v>
      </c>
      <c r="F92" s="9">
        <v>59232433</v>
      </c>
      <c r="G92" s="7"/>
    </row>
    <row r="93" spans="1:7" x14ac:dyDescent="0.25">
      <c r="A93" s="8">
        <v>86</v>
      </c>
      <c r="B93" s="8" t="s">
        <v>143</v>
      </c>
      <c r="C93" s="10">
        <v>12</v>
      </c>
      <c r="D93" s="10">
        <v>746</v>
      </c>
      <c r="E93" s="10">
        <v>9</v>
      </c>
      <c r="F93" s="9">
        <v>1397760</v>
      </c>
      <c r="G93" s="7"/>
    </row>
    <row r="94" spans="1:7" x14ac:dyDescent="0.25">
      <c r="A94" s="8">
        <v>87</v>
      </c>
      <c r="B94" s="8" t="s">
        <v>167</v>
      </c>
      <c r="C94" s="10">
        <v>5</v>
      </c>
      <c r="D94" s="9">
        <v>2665</v>
      </c>
      <c r="E94" s="10">
        <v>9</v>
      </c>
      <c r="F94" s="9">
        <v>539547</v>
      </c>
      <c r="G94" s="7"/>
    </row>
    <row r="95" spans="1:7" x14ac:dyDescent="0.25">
      <c r="A95" s="8">
        <v>88</v>
      </c>
      <c r="B95" s="8" t="s">
        <v>42</v>
      </c>
      <c r="C95" s="10">
        <v>886</v>
      </c>
      <c r="D95" s="10">
        <v>134</v>
      </c>
      <c r="E95" s="10">
        <v>8</v>
      </c>
      <c r="F95" s="9">
        <v>109431787</v>
      </c>
      <c r="G95" s="7"/>
    </row>
    <row r="96" spans="1:7" ht="31.5" x14ac:dyDescent="0.25">
      <c r="A96" s="8">
        <v>89</v>
      </c>
      <c r="B96" s="8" t="s">
        <v>45</v>
      </c>
      <c r="C96" s="10">
        <v>797</v>
      </c>
      <c r="D96" s="10">
        <v>184</v>
      </c>
      <c r="E96" s="10">
        <v>8</v>
      </c>
      <c r="F96" s="9">
        <v>102130974</v>
      </c>
      <c r="G96" s="7" t="s">
        <v>46</v>
      </c>
    </row>
    <row r="97" spans="1:7" x14ac:dyDescent="0.25">
      <c r="A97" s="8">
        <v>90</v>
      </c>
      <c r="B97" s="8" t="s">
        <v>134</v>
      </c>
      <c r="C97" s="10">
        <v>14</v>
      </c>
      <c r="D97" s="9">
        <v>5526</v>
      </c>
      <c r="E97" s="10">
        <v>8</v>
      </c>
      <c r="F97" s="9">
        <v>1694805</v>
      </c>
      <c r="G97" s="7"/>
    </row>
    <row r="98" spans="1:7" x14ac:dyDescent="0.25">
      <c r="A98" s="8">
        <v>91</v>
      </c>
      <c r="B98" s="8" t="s">
        <v>153</v>
      </c>
      <c r="C98" s="10">
        <v>10</v>
      </c>
      <c r="D98" s="10">
        <v>263</v>
      </c>
      <c r="E98" s="10">
        <v>8</v>
      </c>
      <c r="F98" s="9">
        <v>1271565</v>
      </c>
      <c r="G98" s="7"/>
    </row>
    <row r="99" spans="1:7" ht="31.5" x14ac:dyDescent="0.25">
      <c r="A99" s="8">
        <v>92</v>
      </c>
      <c r="B99" s="8" t="s">
        <v>43</v>
      </c>
      <c r="C99" s="10">
        <v>846</v>
      </c>
      <c r="D99" s="10">
        <v>131</v>
      </c>
      <c r="E99" s="10">
        <v>7</v>
      </c>
      <c r="F99" s="9">
        <v>126512743</v>
      </c>
      <c r="G99" s="7" t="s">
        <v>236</v>
      </c>
    </row>
    <row r="100" spans="1:7" x14ac:dyDescent="0.25">
      <c r="A100" s="8">
        <v>93</v>
      </c>
      <c r="B100" s="8" t="s">
        <v>74</v>
      </c>
      <c r="C100" s="10">
        <v>175</v>
      </c>
      <c r="D100" s="10">
        <v>205</v>
      </c>
      <c r="E100" s="10">
        <v>7</v>
      </c>
      <c r="F100" s="9">
        <v>26473989</v>
      </c>
      <c r="G100" s="7"/>
    </row>
    <row r="101" spans="1:7" x14ac:dyDescent="0.25">
      <c r="A101" s="8">
        <v>94</v>
      </c>
      <c r="B101" s="8" t="s">
        <v>89</v>
      </c>
      <c r="C101" s="10">
        <v>82</v>
      </c>
      <c r="D101" s="10">
        <v>173</v>
      </c>
      <c r="E101" s="10">
        <v>7</v>
      </c>
      <c r="F101" s="9">
        <v>11327273</v>
      </c>
      <c r="G101" s="7"/>
    </row>
    <row r="102" spans="1:7" x14ac:dyDescent="0.25">
      <c r="A102" s="8">
        <v>95</v>
      </c>
      <c r="B102" s="8" t="s">
        <v>110</v>
      </c>
      <c r="C102" s="10">
        <v>37</v>
      </c>
      <c r="D102" s="9">
        <v>1594</v>
      </c>
      <c r="E102" s="10">
        <v>7</v>
      </c>
      <c r="F102" s="9">
        <v>5092460</v>
      </c>
      <c r="G102" s="7"/>
    </row>
    <row r="103" spans="1:7" x14ac:dyDescent="0.25">
      <c r="A103" s="8">
        <v>96</v>
      </c>
      <c r="B103" s="8" t="s">
        <v>170</v>
      </c>
      <c r="C103" s="10">
        <v>4</v>
      </c>
      <c r="D103" s="10">
        <v>702</v>
      </c>
      <c r="E103" s="10">
        <v>7</v>
      </c>
      <c r="F103" s="9">
        <v>555377</v>
      </c>
      <c r="G103" s="7"/>
    </row>
    <row r="104" spans="1:7" x14ac:dyDescent="0.25">
      <c r="A104" s="8">
        <v>97</v>
      </c>
      <c r="B104" s="8" t="s">
        <v>70</v>
      </c>
      <c r="C104" s="10">
        <v>220</v>
      </c>
      <c r="D104" s="10">
        <v>305</v>
      </c>
      <c r="E104" s="10">
        <v>6</v>
      </c>
      <c r="F104" s="9">
        <v>38834157</v>
      </c>
      <c r="G104" s="7"/>
    </row>
    <row r="105" spans="1:7" x14ac:dyDescent="0.25">
      <c r="A105" s="8">
        <v>98</v>
      </c>
      <c r="B105" s="8" t="s">
        <v>107</v>
      </c>
      <c r="C105" s="10">
        <v>44</v>
      </c>
      <c r="D105" s="10">
        <v>95</v>
      </c>
      <c r="E105" s="10">
        <v>6</v>
      </c>
      <c r="F105" s="9">
        <v>7959753</v>
      </c>
      <c r="G105" s="7"/>
    </row>
    <row r="106" spans="1:7" x14ac:dyDescent="0.25">
      <c r="A106" s="8">
        <v>99</v>
      </c>
      <c r="B106" s="8" t="s">
        <v>112</v>
      </c>
      <c r="C106" s="10">
        <v>36</v>
      </c>
      <c r="D106" s="10">
        <v>315</v>
      </c>
      <c r="E106" s="10">
        <v>6</v>
      </c>
      <c r="F106" s="9">
        <v>6483000</v>
      </c>
      <c r="G106" s="7"/>
    </row>
    <row r="107" spans="1:7" x14ac:dyDescent="0.25">
      <c r="A107" s="8">
        <v>100</v>
      </c>
      <c r="B107" s="8" t="s">
        <v>125</v>
      </c>
      <c r="C107" s="10">
        <v>22</v>
      </c>
      <c r="D107" s="10">
        <v>227</v>
      </c>
      <c r="E107" s="10">
        <v>6</v>
      </c>
      <c r="F107" s="9">
        <v>3472561</v>
      </c>
      <c r="G107" s="7"/>
    </row>
    <row r="108" spans="1:7" x14ac:dyDescent="0.25">
      <c r="A108" s="8">
        <v>101</v>
      </c>
      <c r="B108" s="8" t="s">
        <v>137</v>
      </c>
      <c r="C108" s="10">
        <v>14</v>
      </c>
      <c r="D108" s="9">
        <v>1008</v>
      </c>
      <c r="E108" s="10">
        <v>6</v>
      </c>
      <c r="F108" s="9">
        <v>2220060</v>
      </c>
      <c r="G108" s="7"/>
    </row>
    <row r="109" spans="1:7" x14ac:dyDescent="0.25">
      <c r="A109" s="8">
        <v>102</v>
      </c>
      <c r="B109" s="8" t="s">
        <v>159</v>
      </c>
      <c r="C109" s="10">
        <v>8</v>
      </c>
      <c r="D109" s="10">
        <v>83</v>
      </c>
      <c r="E109" s="10">
        <v>6</v>
      </c>
      <c r="F109" s="9">
        <v>1399048</v>
      </c>
      <c r="G109" s="7"/>
    </row>
    <row r="110" spans="1:7" x14ac:dyDescent="0.25">
      <c r="A110" s="8">
        <v>103</v>
      </c>
      <c r="B110" s="8" t="s">
        <v>197</v>
      </c>
      <c r="C110" s="10">
        <v>1</v>
      </c>
      <c r="D110" s="10">
        <v>110</v>
      </c>
      <c r="E110" s="10">
        <v>6</v>
      </c>
      <c r="F110" s="9">
        <v>164028</v>
      </c>
      <c r="G110" s="7"/>
    </row>
    <row r="111" spans="1:7" x14ac:dyDescent="0.25">
      <c r="A111" s="8">
        <v>104</v>
      </c>
      <c r="B111" s="8" t="s">
        <v>37</v>
      </c>
      <c r="C111" s="9">
        <v>1418</v>
      </c>
      <c r="D111" s="10">
        <v>85</v>
      </c>
      <c r="E111" s="10">
        <v>5</v>
      </c>
      <c r="F111" s="9">
        <v>273231828</v>
      </c>
      <c r="G111" s="7"/>
    </row>
    <row r="112" spans="1:7" x14ac:dyDescent="0.25">
      <c r="A112" s="8">
        <v>105</v>
      </c>
      <c r="B112" s="8" t="s">
        <v>40</v>
      </c>
      <c r="C112" s="9">
        <v>1197</v>
      </c>
      <c r="D112" s="10">
        <v>262</v>
      </c>
      <c r="E112" s="10">
        <v>5</v>
      </c>
      <c r="F112" s="9">
        <v>220438956</v>
      </c>
      <c r="G112" s="7"/>
    </row>
    <row r="113" spans="1:7" ht="31.5" x14ac:dyDescent="0.25">
      <c r="A113" s="8">
        <v>106</v>
      </c>
      <c r="B113" s="8" t="s">
        <v>62</v>
      </c>
      <c r="C113" s="10">
        <v>269</v>
      </c>
      <c r="D113" s="10">
        <v>219</v>
      </c>
      <c r="E113" s="10">
        <v>5</v>
      </c>
      <c r="F113" s="9">
        <v>51264961</v>
      </c>
      <c r="G113" s="7" t="s">
        <v>63</v>
      </c>
    </row>
    <row r="114" spans="1:7" x14ac:dyDescent="0.25">
      <c r="A114" s="8">
        <v>107</v>
      </c>
      <c r="B114" s="8" t="s">
        <v>72</v>
      </c>
      <c r="C114" s="10">
        <v>202</v>
      </c>
      <c r="D114" s="10">
        <v>206</v>
      </c>
      <c r="E114" s="10">
        <v>5</v>
      </c>
      <c r="F114" s="9">
        <v>36866123</v>
      </c>
      <c r="G114" s="7"/>
    </row>
    <row r="115" spans="1:7" x14ac:dyDescent="0.25">
      <c r="A115" s="8">
        <v>108</v>
      </c>
      <c r="B115" s="8" t="s">
        <v>99</v>
      </c>
      <c r="C115" s="10">
        <v>52</v>
      </c>
      <c r="D115" s="10">
        <v>435</v>
      </c>
      <c r="E115" s="10">
        <v>5</v>
      </c>
      <c r="F115" s="9">
        <v>10130034</v>
      </c>
      <c r="G115" s="7"/>
    </row>
    <row r="116" spans="1:7" x14ac:dyDescent="0.25">
      <c r="A116" s="8">
        <v>109</v>
      </c>
      <c r="B116" s="8" t="s">
        <v>105</v>
      </c>
      <c r="C116" s="10">
        <v>47</v>
      </c>
      <c r="D116" s="10">
        <v>343</v>
      </c>
      <c r="E116" s="10">
        <v>5</v>
      </c>
      <c r="F116" s="9">
        <v>9514637</v>
      </c>
      <c r="G116" s="7"/>
    </row>
    <row r="117" spans="1:7" x14ac:dyDescent="0.25">
      <c r="A117" s="8">
        <v>110</v>
      </c>
      <c r="B117" s="8" t="s">
        <v>113</v>
      </c>
      <c r="C117" s="10">
        <v>35</v>
      </c>
      <c r="D117" s="10">
        <v>115</v>
      </c>
      <c r="E117" s="10">
        <v>5</v>
      </c>
      <c r="F117" s="9">
        <v>6616547</v>
      </c>
      <c r="G117" s="7"/>
    </row>
    <row r="118" spans="1:7" x14ac:dyDescent="0.25">
      <c r="A118" s="8">
        <v>111</v>
      </c>
      <c r="B118" s="8" t="s">
        <v>119</v>
      </c>
      <c r="C118" s="10">
        <v>28</v>
      </c>
      <c r="D118" s="10">
        <v>277</v>
      </c>
      <c r="E118" s="10">
        <v>5</v>
      </c>
      <c r="F118" s="9">
        <v>5459389</v>
      </c>
      <c r="G118" s="7"/>
    </row>
    <row r="119" spans="1:7" x14ac:dyDescent="0.25">
      <c r="A119" s="8">
        <v>112</v>
      </c>
      <c r="B119" s="8" t="s">
        <v>121</v>
      </c>
      <c r="C119" s="10">
        <v>26</v>
      </c>
      <c r="D119" s="10">
        <v>53</v>
      </c>
      <c r="E119" s="10">
        <v>5</v>
      </c>
      <c r="F119" s="9">
        <v>5044844</v>
      </c>
      <c r="G119" s="7"/>
    </row>
    <row r="120" spans="1:7" x14ac:dyDescent="0.25">
      <c r="A120" s="8">
        <v>113</v>
      </c>
      <c r="B120" s="8" t="s">
        <v>184</v>
      </c>
      <c r="C120" s="10">
        <v>2</v>
      </c>
      <c r="D120" s="10">
        <v>45</v>
      </c>
      <c r="E120" s="10">
        <v>5</v>
      </c>
      <c r="F120" s="9">
        <v>396870</v>
      </c>
      <c r="G120" s="7"/>
    </row>
    <row r="121" spans="1:7" x14ac:dyDescent="0.25">
      <c r="A121" s="8">
        <v>114</v>
      </c>
      <c r="B121" s="8" t="s">
        <v>78</v>
      </c>
      <c r="C121" s="10">
        <v>170</v>
      </c>
      <c r="D121" s="10">
        <v>91</v>
      </c>
      <c r="E121" s="10">
        <v>4</v>
      </c>
      <c r="F121" s="9">
        <v>43738792</v>
      </c>
      <c r="G121" s="7"/>
    </row>
    <row r="122" spans="1:7" x14ac:dyDescent="0.25">
      <c r="A122" s="8">
        <v>115</v>
      </c>
      <c r="B122" s="8" t="s">
        <v>79</v>
      </c>
      <c r="C122" s="10">
        <v>169</v>
      </c>
      <c r="D122" s="10">
        <v>121</v>
      </c>
      <c r="E122" s="10">
        <v>4</v>
      </c>
      <c r="F122" s="9">
        <v>40125564</v>
      </c>
      <c r="G122" s="7"/>
    </row>
    <row r="123" spans="1:7" x14ac:dyDescent="0.25">
      <c r="A123" s="8">
        <v>116</v>
      </c>
      <c r="B123" s="8" t="s">
        <v>83</v>
      </c>
      <c r="C123" s="10">
        <v>115</v>
      </c>
      <c r="D123" s="10">
        <v>235</v>
      </c>
      <c r="E123" s="10">
        <v>4</v>
      </c>
      <c r="F123" s="9">
        <v>32323664</v>
      </c>
      <c r="G123" s="7"/>
    </row>
    <row r="124" spans="1:7" x14ac:dyDescent="0.25">
      <c r="A124" s="8">
        <v>117</v>
      </c>
      <c r="B124" s="8" t="s">
        <v>86</v>
      </c>
      <c r="C124" s="10">
        <v>102</v>
      </c>
      <c r="D124" s="10">
        <v>280</v>
      </c>
      <c r="E124" s="10">
        <v>4</v>
      </c>
      <c r="F124" s="9">
        <v>25469872</v>
      </c>
      <c r="G124" s="7"/>
    </row>
    <row r="125" spans="1:7" x14ac:dyDescent="0.25">
      <c r="A125" s="8">
        <v>118</v>
      </c>
      <c r="B125" s="8" t="s">
        <v>92</v>
      </c>
      <c r="C125" s="10">
        <v>67</v>
      </c>
      <c r="D125" s="10">
        <v>108</v>
      </c>
      <c r="E125" s="10">
        <v>4</v>
      </c>
      <c r="F125" s="9">
        <v>15844234</v>
      </c>
      <c r="G125" s="7"/>
    </row>
    <row r="126" spans="1:7" x14ac:dyDescent="0.25">
      <c r="A126" s="8">
        <v>119</v>
      </c>
      <c r="B126" s="8" t="s">
        <v>96</v>
      </c>
      <c r="C126" s="10">
        <v>62</v>
      </c>
      <c r="D126" s="10">
        <v>43</v>
      </c>
      <c r="E126" s="10">
        <v>4</v>
      </c>
      <c r="F126" s="9">
        <v>16373575</v>
      </c>
      <c r="G126" s="7"/>
    </row>
    <row r="127" spans="1:7" x14ac:dyDescent="0.25">
      <c r="A127" s="8">
        <v>120</v>
      </c>
      <c r="B127" s="8" t="s">
        <v>104</v>
      </c>
      <c r="C127" s="10">
        <v>48</v>
      </c>
      <c r="D127" s="10">
        <v>89</v>
      </c>
      <c r="E127" s="10">
        <v>4</v>
      </c>
      <c r="F127" s="9">
        <v>11806151</v>
      </c>
      <c r="G127" s="7"/>
    </row>
    <row r="128" spans="1:7" x14ac:dyDescent="0.25">
      <c r="A128" s="8">
        <v>121</v>
      </c>
      <c r="B128" s="8" t="s">
        <v>120</v>
      </c>
      <c r="C128" s="10">
        <v>26</v>
      </c>
      <c r="D128" s="10">
        <v>167</v>
      </c>
      <c r="E128" s="10">
        <v>4</v>
      </c>
      <c r="F128" s="9">
        <v>6828287</v>
      </c>
      <c r="G128" s="7"/>
    </row>
    <row r="129" spans="1:7" x14ac:dyDescent="0.25">
      <c r="A129" s="8">
        <v>122</v>
      </c>
      <c r="B129" s="8" t="s">
        <v>123</v>
      </c>
      <c r="C129" s="10">
        <v>23</v>
      </c>
      <c r="D129" s="9">
        <v>5533</v>
      </c>
      <c r="E129" s="10">
        <v>4</v>
      </c>
      <c r="F129" s="9">
        <v>5845767</v>
      </c>
      <c r="G129" s="7"/>
    </row>
    <row r="130" spans="1:7" x14ac:dyDescent="0.25">
      <c r="A130" s="8">
        <v>123</v>
      </c>
      <c r="B130" s="8" t="s">
        <v>126</v>
      </c>
      <c r="C130" s="10">
        <v>21</v>
      </c>
      <c r="D130" s="10">
        <v>312</v>
      </c>
      <c r="E130" s="10">
        <v>4</v>
      </c>
      <c r="F130" s="9">
        <v>4818333</v>
      </c>
      <c r="G130" s="7"/>
    </row>
    <row r="131" spans="1:7" x14ac:dyDescent="0.25">
      <c r="A131" s="8">
        <v>124</v>
      </c>
      <c r="B131" s="8" t="s">
        <v>160</v>
      </c>
      <c r="C131" s="10">
        <v>7</v>
      </c>
      <c r="D131" s="10">
        <v>600</v>
      </c>
      <c r="E131" s="10">
        <v>4</v>
      </c>
      <c r="F131" s="9">
        <v>1962975</v>
      </c>
      <c r="G131" s="7"/>
    </row>
    <row r="132" spans="1:7" x14ac:dyDescent="0.25">
      <c r="A132" s="8">
        <v>125</v>
      </c>
      <c r="B132" s="8" t="s">
        <v>28</v>
      </c>
      <c r="C132" s="9">
        <v>4634</v>
      </c>
      <c r="D132" s="10">
        <v>58</v>
      </c>
      <c r="E132" s="10">
        <v>3</v>
      </c>
      <c r="F132" s="9">
        <v>1439323776</v>
      </c>
      <c r="G132" s="7"/>
    </row>
    <row r="133" spans="1:7" x14ac:dyDescent="0.25">
      <c r="A133" s="8">
        <v>126</v>
      </c>
      <c r="B133" s="8" t="s">
        <v>30</v>
      </c>
      <c r="C133" s="9">
        <v>4349</v>
      </c>
      <c r="D133" s="10">
        <v>109</v>
      </c>
      <c r="E133" s="10">
        <v>3</v>
      </c>
      <c r="F133" s="9">
        <v>1378641054</v>
      </c>
      <c r="G133" s="7"/>
    </row>
    <row r="134" spans="1:7" x14ac:dyDescent="0.25">
      <c r="A134" s="8">
        <v>127</v>
      </c>
      <c r="B134" s="8" t="s">
        <v>53</v>
      </c>
      <c r="C134" s="10">
        <v>522</v>
      </c>
      <c r="D134" s="10">
        <v>223</v>
      </c>
      <c r="E134" s="10">
        <v>3</v>
      </c>
      <c r="F134" s="9">
        <v>164524398</v>
      </c>
      <c r="G134" s="7"/>
    </row>
    <row r="135" spans="1:7" x14ac:dyDescent="0.25">
      <c r="A135" s="8">
        <v>128</v>
      </c>
      <c r="B135" s="8" t="s">
        <v>90</v>
      </c>
      <c r="C135" s="10">
        <v>70</v>
      </c>
      <c r="D135" s="10">
        <v>53</v>
      </c>
      <c r="E135" s="10">
        <v>3</v>
      </c>
      <c r="F135" s="9">
        <v>20186088</v>
      </c>
      <c r="G135" s="7"/>
    </row>
    <row r="136" spans="1:7" x14ac:dyDescent="0.25">
      <c r="A136" s="8">
        <v>129</v>
      </c>
      <c r="B136" s="8" t="s">
        <v>95</v>
      </c>
      <c r="C136" s="10">
        <v>63</v>
      </c>
      <c r="D136" s="10">
        <v>39</v>
      </c>
      <c r="E136" s="10">
        <v>3</v>
      </c>
      <c r="F136" s="9">
        <v>24105596</v>
      </c>
      <c r="G136" s="7"/>
    </row>
    <row r="137" spans="1:7" x14ac:dyDescent="0.25">
      <c r="A137" s="8">
        <v>130</v>
      </c>
      <c r="B137" s="8" t="s">
        <v>97</v>
      </c>
      <c r="C137" s="10">
        <v>59</v>
      </c>
      <c r="D137" s="10">
        <v>210</v>
      </c>
      <c r="E137" s="10">
        <v>3</v>
      </c>
      <c r="F137" s="9">
        <v>17880705</v>
      </c>
      <c r="G137" s="7"/>
    </row>
    <row r="138" spans="1:7" x14ac:dyDescent="0.25">
      <c r="A138" s="8">
        <v>131</v>
      </c>
      <c r="B138" s="8" t="s">
        <v>116</v>
      </c>
      <c r="C138" s="10">
        <v>31</v>
      </c>
      <c r="D138" s="10">
        <v>93</v>
      </c>
      <c r="E138" s="10">
        <v>3</v>
      </c>
      <c r="F138" s="9">
        <v>11388384</v>
      </c>
      <c r="G138" s="7"/>
    </row>
    <row r="139" spans="1:7" x14ac:dyDescent="0.25">
      <c r="A139" s="8">
        <v>132</v>
      </c>
      <c r="B139" s="8" t="s">
        <v>132</v>
      </c>
      <c r="C139" s="10">
        <v>16</v>
      </c>
      <c r="D139" s="10">
        <v>88</v>
      </c>
      <c r="E139" s="10">
        <v>3</v>
      </c>
      <c r="F139" s="9">
        <v>5503335</v>
      </c>
      <c r="G139" s="7"/>
    </row>
    <row r="140" spans="1:7" x14ac:dyDescent="0.25">
      <c r="A140" s="8">
        <v>133</v>
      </c>
      <c r="B140" s="8" t="s">
        <v>142</v>
      </c>
      <c r="C140" s="10">
        <v>13</v>
      </c>
      <c r="D140" s="10">
        <v>58</v>
      </c>
      <c r="E140" s="10">
        <v>3</v>
      </c>
      <c r="F140" s="9">
        <v>4636268</v>
      </c>
      <c r="G140" s="7"/>
    </row>
    <row r="141" spans="1:7" x14ac:dyDescent="0.25">
      <c r="A141" s="8">
        <v>134</v>
      </c>
      <c r="B141" s="8" t="s">
        <v>144</v>
      </c>
      <c r="C141" s="10">
        <v>12</v>
      </c>
      <c r="D141" s="10">
        <v>183</v>
      </c>
      <c r="E141" s="10">
        <v>3</v>
      </c>
      <c r="F141" s="9">
        <v>3989889</v>
      </c>
      <c r="G141" s="7"/>
    </row>
    <row r="142" spans="1:7" x14ac:dyDescent="0.25">
      <c r="A142" s="8">
        <v>135</v>
      </c>
      <c r="B142" s="8" t="s">
        <v>155</v>
      </c>
      <c r="C142" s="10">
        <v>9</v>
      </c>
      <c r="D142" s="10">
        <v>188</v>
      </c>
      <c r="E142" s="10">
        <v>3</v>
      </c>
      <c r="F142" s="9">
        <v>2959906</v>
      </c>
      <c r="G142" s="7"/>
    </row>
    <row r="143" spans="1:7" x14ac:dyDescent="0.25">
      <c r="A143" s="8">
        <v>136</v>
      </c>
      <c r="B143" s="8" t="s">
        <v>188</v>
      </c>
      <c r="C143" s="10">
        <v>1</v>
      </c>
      <c r="D143" s="9">
        <v>1289</v>
      </c>
      <c r="E143" s="10">
        <v>3</v>
      </c>
      <c r="F143" s="9">
        <v>297835</v>
      </c>
      <c r="G143" s="7"/>
    </row>
    <row r="144" spans="1:7" x14ac:dyDescent="0.25">
      <c r="A144" s="8">
        <v>137</v>
      </c>
      <c r="B144" s="8" t="s">
        <v>101</v>
      </c>
      <c r="C144" s="10">
        <v>52</v>
      </c>
      <c r="D144" s="10">
        <v>40</v>
      </c>
      <c r="E144" s="10">
        <v>2</v>
      </c>
      <c r="F144" s="9">
        <v>20840103</v>
      </c>
      <c r="G144" s="7"/>
    </row>
    <row r="145" spans="1:7" x14ac:dyDescent="0.25">
      <c r="A145" s="8">
        <v>138</v>
      </c>
      <c r="B145" s="8" t="s">
        <v>103</v>
      </c>
      <c r="C145" s="10">
        <v>49</v>
      </c>
      <c r="D145" s="10">
        <v>8</v>
      </c>
      <c r="E145" s="10">
        <v>2</v>
      </c>
      <c r="F145" s="9">
        <v>29755574</v>
      </c>
      <c r="G145" s="7"/>
    </row>
    <row r="146" spans="1:7" x14ac:dyDescent="0.25">
      <c r="A146" s="8">
        <v>139</v>
      </c>
      <c r="B146" s="8" t="s">
        <v>109</v>
      </c>
      <c r="C146" s="10">
        <v>37</v>
      </c>
      <c r="D146" s="10">
        <v>478</v>
      </c>
      <c r="E146" s="10">
        <v>2</v>
      </c>
      <c r="F146" s="9">
        <v>18753881</v>
      </c>
      <c r="G146" s="7"/>
    </row>
    <row r="147" spans="1:7" x14ac:dyDescent="0.25">
      <c r="A147" s="8">
        <v>140</v>
      </c>
      <c r="B147" s="8" t="s">
        <v>111</v>
      </c>
      <c r="C147" s="10">
        <v>36</v>
      </c>
      <c r="D147" s="10">
        <v>189</v>
      </c>
      <c r="E147" s="10">
        <v>2</v>
      </c>
      <c r="F147" s="9">
        <v>16695568</v>
      </c>
      <c r="G147" s="7"/>
    </row>
    <row r="148" spans="1:7" x14ac:dyDescent="0.25">
      <c r="A148" s="8">
        <v>141</v>
      </c>
      <c r="B148" s="8" t="s">
        <v>128</v>
      </c>
      <c r="C148" s="10">
        <v>20</v>
      </c>
      <c r="D148" s="10">
        <v>250</v>
      </c>
      <c r="E148" s="10">
        <v>2</v>
      </c>
      <c r="F148" s="9">
        <v>13093597</v>
      </c>
      <c r="G148" s="7"/>
    </row>
    <row r="149" spans="1:7" x14ac:dyDescent="0.25">
      <c r="A149" s="8">
        <v>142</v>
      </c>
      <c r="B149" s="8" t="s">
        <v>131</v>
      </c>
      <c r="C149" s="10">
        <v>16</v>
      </c>
      <c r="D149" s="10">
        <v>225</v>
      </c>
      <c r="E149" s="10">
        <v>2</v>
      </c>
      <c r="F149" s="9">
        <v>6512990</v>
      </c>
      <c r="G149" s="7"/>
    </row>
    <row r="150" spans="1:7" x14ac:dyDescent="0.25">
      <c r="A150" s="8">
        <v>143</v>
      </c>
      <c r="B150" s="8" t="s">
        <v>141</v>
      </c>
      <c r="C150" s="10">
        <v>13</v>
      </c>
      <c r="D150" s="10">
        <v>47</v>
      </c>
      <c r="E150" s="10">
        <v>2</v>
      </c>
      <c r="F150" s="9">
        <v>8257779</v>
      </c>
      <c r="G150" s="7"/>
    </row>
    <row r="151" spans="1:7" x14ac:dyDescent="0.25">
      <c r="A151" s="8">
        <v>144</v>
      </c>
      <c r="B151" s="8" t="s">
        <v>147</v>
      </c>
      <c r="C151" s="10">
        <v>11</v>
      </c>
      <c r="D151" s="10">
        <v>123</v>
      </c>
      <c r="E151" s="10">
        <v>2</v>
      </c>
      <c r="F151" s="9">
        <v>7123619</v>
      </c>
      <c r="G151" s="7"/>
    </row>
    <row r="152" spans="1:7" x14ac:dyDescent="0.25">
      <c r="A152" s="8">
        <v>145</v>
      </c>
      <c r="B152" s="8" t="s">
        <v>152</v>
      </c>
      <c r="C152" s="10">
        <v>10</v>
      </c>
      <c r="D152" s="10">
        <v>188</v>
      </c>
      <c r="E152" s="10">
        <v>2</v>
      </c>
      <c r="F152" s="9">
        <v>5089461</v>
      </c>
      <c r="G152" s="7"/>
    </row>
    <row r="153" spans="1:7" x14ac:dyDescent="0.25">
      <c r="A153" s="8">
        <v>146</v>
      </c>
      <c r="B153" s="8" t="s">
        <v>183</v>
      </c>
      <c r="C153" s="10">
        <v>2</v>
      </c>
      <c r="D153" s="10">
        <v>225</v>
      </c>
      <c r="E153" s="10">
        <v>2</v>
      </c>
      <c r="F153" s="9">
        <v>1158954</v>
      </c>
      <c r="G153" s="7"/>
    </row>
    <row r="154" spans="1:7" x14ac:dyDescent="0.25">
      <c r="A154" s="8">
        <v>147</v>
      </c>
      <c r="B154" s="8" t="s">
        <v>190</v>
      </c>
      <c r="C154" s="10">
        <v>1</v>
      </c>
      <c r="D154" s="10">
        <v>323</v>
      </c>
      <c r="E154" s="10">
        <v>2</v>
      </c>
      <c r="F154" s="9">
        <v>437059</v>
      </c>
      <c r="G154" s="7"/>
    </row>
    <row r="155" spans="1:7" x14ac:dyDescent="0.25">
      <c r="A155" s="8">
        <v>148</v>
      </c>
      <c r="B155" s="8" t="s">
        <v>200</v>
      </c>
      <c r="C155" s="10">
        <v>1</v>
      </c>
      <c r="D155" s="10">
        <v>19</v>
      </c>
      <c r="E155" s="10">
        <v>2</v>
      </c>
      <c r="F155" s="9">
        <v>586106</v>
      </c>
      <c r="G155" s="7"/>
    </row>
    <row r="156" spans="1:7" x14ac:dyDescent="0.25">
      <c r="A156" s="8">
        <v>149</v>
      </c>
      <c r="B156" s="8" t="s">
        <v>201</v>
      </c>
      <c r="C156" s="10">
        <v>1</v>
      </c>
      <c r="D156" s="10">
        <v>15</v>
      </c>
      <c r="E156" s="10">
        <v>2</v>
      </c>
      <c r="F156" s="9">
        <v>595744</v>
      </c>
      <c r="G156" s="7"/>
    </row>
    <row r="157" spans="1:7" x14ac:dyDescent="0.25">
      <c r="A157" s="8">
        <v>150</v>
      </c>
      <c r="B157" s="8" t="s">
        <v>67</v>
      </c>
      <c r="C157" s="10">
        <v>249</v>
      </c>
      <c r="D157" s="10">
        <v>41</v>
      </c>
      <c r="E157" s="10">
        <v>1</v>
      </c>
      <c r="F157" s="9">
        <v>205584173</v>
      </c>
      <c r="G157" s="7"/>
    </row>
    <row r="158" spans="1:7" x14ac:dyDescent="0.25">
      <c r="A158" s="8">
        <v>151</v>
      </c>
      <c r="B158" s="8" t="s">
        <v>100</v>
      </c>
      <c r="C158" s="10">
        <v>52</v>
      </c>
      <c r="D158" s="10">
        <v>25</v>
      </c>
      <c r="E158" s="10">
        <v>1</v>
      </c>
      <c r="F158" s="9">
        <v>53644375</v>
      </c>
      <c r="G158" s="7"/>
    </row>
    <row r="159" spans="1:7" x14ac:dyDescent="0.25">
      <c r="A159" s="8">
        <v>152</v>
      </c>
      <c r="B159" s="8" t="s">
        <v>114</v>
      </c>
      <c r="C159" s="10">
        <v>34</v>
      </c>
      <c r="D159" s="10">
        <v>230</v>
      </c>
      <c r="E159" s="10">
        <v>1</v>
      </c>
      <c r="F159" s="9">
        <v>31003853</v>
      </c>
      <c r="G159" s="7"/>
    </row>
    <row r="160" spans="1:7" x14ac:dyDescent="0.25">
      <c r="A160" s="8">
        <v>153</v>
      </c>
      <c r="B160" s="8" t="s">
        <v>117</v>
      </c>
      <c r="C160" s="10">
        <v>30</v>
      </c>
      <c r="D160" s="10">
        <v>94</v>
      </c>
      <c r="E160" s="10">
        <v>1</v>
      </c>
      <c r="F160" s="9">
        <v>26307273</v>
      </c>
      <c r="G160" s="7"/>
    </row>
    <row r="161" spans="1:7" x14ac:dyDescent="0.25">
      <c r="A161" s="8">
        <v>154</v>
      </c>
      <c r="B161" s="8" t="s">
        <v>187</v>
      </c>
      <c r="C161" s="10">
        <v>1</v>
      </c>
      <c r="D161" s="10">
        <v>513</v>
      </c>
      <c r="E161" s="10">
        <v>1</v>
      </c>
      <c r="F161" s="9">
        <v>894679</v>
      </c>
      <c r="G161" s="7"/>
    </row>
    <row r="162" spans="1:7" x14ac:dyDescent="0.25">
      <c r="A162" s="8">
        <v>155</v>
      </c>
      <c r="B162" s="8" t="s">
        <v>192</v>
      </c>
      <c r="C162" s="10">
        <v>1</v>
      </c>
      <c r="D162" s="10">
        <v>100</v>
      </c>
      <c r="E162" s="10">
        <v>1</v>
      </c>
      <c r="F162" s="9">
        <v>867624</v>
      </c>
      <c r="G162" s="7"/>
    </row>
    <row r="163" spans="1:7" x14ac:dyDescent="0.25">
      <c r="A163" s="8">
        <v>156</v>
      </c>
      <c r="B163" s="8" t="s">
        <v>154</v>
      </c>
      <c r="C163" s="10">
        <v>9</v>
      </c>
      <c r="D163" s="10">
        <v>70</v>
      </c>
      <c r="E163" s="10">
        <v>0.9</v>
      </c>
      <c r="F163" s="9">
        <v>10192951</v>
      </c>
      <c r="G163" s="7"/>
    </row>
    <row r="164" spans="1:7" x14ac:dyDescent="0.25">
      <c r="A164" s="8">
        <v>157</v>
      </c>
      <c r="B164" s="8" t="s">
        <v>91</v>
      </c>
      <c r="C164" s="10">
        <v>68</v>
      </c>
      <c r="D164" s="10">
        <v>27</v>
      </c>
      <c r="E164" s="10">
        <v>0.8</v>
      </c>
      <c r="F164" s="9">
        <v>89256655</v>
      </c>
      <c r="G164" s="7"/>
    </row>
    <row r="165" spans="1:7" x14ac:dyDescent="0.25">
      <c r="A165" s="8">
        <v>158</v>
      </c>
      <c r="B165" s="8" t="s">
        <v>98</v>
      </c>
      <c r="C165" s="10">
        <v>57</v>
      </c>
      <c r="D165" s="10">
        <v>44</v>
      </c>
      <c r="E165" s="10">
        <v>0.8</v>
      </c>
      <c r="F165" s="9">
        <v>69783058</v>
      </c>
      <c r="G165" s="7"/>
    </row>
    <row r="166" spans="1:7" x14ac:dyDescent="0.25">
      <c r="A166" s="8">
        <v>159</v>
      </c>
      <c r="B166" s="8" t="s">
        <v>158</v>
      </c>
      <c r="C166" s="10">
        <v>8</v>
      </c>
      <c r="D166" s="10">
        <v>72</v>
      </c>
      <c r="E166" s="10">
        <v>0.7</v>
      </c>
      <c r="F166" s="9">
        <v>11180404</v>
      </c>
      <c r="G166" s="7"/>
    </row>
    <row r="167" spans="1:7" x14ac:dyDescent="0.25">
      <c r="A167" s="8">
        <v>160</v>
      </c>
      <c r="B167" s="8" t="s">
        <v>176</v>
      </c>
      <c r="C167" s="10">
        <v>3</v>
      </c>
      <c r="D167" s="10">
        <v>84</v>
      </c>
      <c r="E167" s="10">
        <v>0.6</v>
      </c>
      <c r="F167" s="9">
        <v>5088625</v>
      </c>
      <c r="G167" s="7"/>
    </row>
    <row r="168" spans="1:7" x14ac:dyDescent="0.25">
      <c r="A168" s="8">
        <v>161</v>
      </c>
      <c r="B168" s="8" t="s">
        <v>151</v>
      </c>
      <c r="C168" s="10">
        <v>10</v>
      </c>
      <c r="D168" s="10">
        <v>62</v>
      </c>
      <c r="E168" s="10">
        <v>0.5</v>
      </c>
      <c r="F168" s="9">
        <v>21404496</v>
      </c>
      <c r="G168" s="7"/>
    </row>
    <row r="169" spans="1:7" x14ac:dyDescent="0.25">
      <c r="A169" s="8">
        <v>162</v>
      </c>
      <c r="B169" s="8" t="s">
        <v>168</v>
      </c>
      <c r="C169" s="10">
        <v>4</v>
      </c>
      <c r="D169" s="10">
        <v>142</v>
      </c>
      <c r="E169" s="10">
        <v>0.5</v>
      </c>
      <c r="F169" s="9">
        <v>7490925</v>
      </c>
      <c r="G169" s="7"/>
    </row>
    <row r="170" spans="1:7" x14ac:dyDescent="0.25">
      <c r="A170" s="8">
        <v>163</v>
      </c>
      <c r="B170" s="8" t="s">
        <v>127</v>
      </c>
      <c r="C170" s="10">
        <v>21</v>
      </c>
      <c r="D170" s="10">
        <v>9</v>
      </c>
      <c r="E170" s="10">
        <v>0.4</v>
      </c>
      <c r="F170" s="9">
        <v>59545671</v>
      </c>
      <c r="G170" s="7"/>
    </row>
    <row r="171" spans="1:7" x14ac:dyDescent="0.25">
      <c r="A171" s="8">
        <v>164</v>
      </c>
      <c r="B171" s="8" t="s">
        <v>135</v>
      </c>
      <c r="C171" s="10">
        <v>14</v>
      </c>
      <c r="D171" s="10">
        <v>98</v>
      </c>
      <c r="E171" s="10">
        <v>0.4</v>
      </c>
      <c r="F171" s="9">
        <v>33419241</v>
      </c>
      <c r="G171" s="7"/>
    </row>
    <row r="172" spans="1:7" x14ac:dyDescent="0.25">
      <c r="A172" s="8">
        <v>165</v>
      </c>
      <c r="B172" s="8" t="s">
        <v>146</v>
      </c>
      <c r="C172" s="10">
        <v>11</v>
      </c>
      <c r="D172" s="10">
        <v>43</v>
      </c>
      <c r="E172" s="10">
        <v>0.4</v>
      </c>
      <c r="F172" s="9">
        <v>28443500</v>
      </c>
      <c r="G172" s="7"/>
    </row>
    <row r="173" spans="1:7" x14ac:dyDescent="0.25">
      <c r="A173" s="8">
        <v>166</v>
      </c>
      <c r="B173" s="8" t="s">
        <v>161</v>
      </c>
      <c r="C173" s="10">
        <v>7</v>
      </c>
      <c r="D173" s="10">
        <v>50</v>
      </c>
      <c r="E173" s="10">
        <v>0.4</v>
      </c>
      <c r="F173" s="9">
        <v>18327041</v>
      </c>
      <c r="G173" s="7"/>
    </row>
    <row r="174" spans="1:7" x14ac:dyDescent="0.25">
      <c r="A174" s="8">
        <v>167</v>
      </c>
      <c r="B174" s="8" t="s">
        <v>179</v>
      </c>
      <c r="C174" s="10">
        <v>3</v>
      </c>
      <c r="D174" s="10">
        <v>11</v>
      </c>
      <c r="E174" s="10">
        <v>0.4</v>
      </c>
      <c r="F174" s="9">
        <v>6861713</v>
      </c>
      <c r="G174" s="7"/>
    </row>
    <row r="175" spans="1:7" x14ac:dyDescent="0.25">
      <c r="A175" s="8">
        <v>168</v>
      </c>
      <c r="B175" s="8" t="s">
        <v>195</v>
      </c>
      <c r="C175" s="10">
        <v>1</v>
      </c>
      <c r="D175" s="10">
        <v>15</v>
      </c>
      <c r="E175" s="10">
        <v>0.4</v>
      </c>
      <c r="F175" s="9">
        <v>2346588</v>
      </c>
      <c r="G175" s="7"/>
    </row>
    <row r="176" spans="1:7" x14ac:dyDescent="0.25">
      <c r="A176" s="8">
        <v>169</v>
      </c>
      <c r="B176" s="8" t="s">
        <v>196</v>
      </c>
      <c r="C176" s="10">
        <v>1</v>
      </c>
      <c r="D176" s="10">
        <v>10</v>
      </c>
      <c r="E176" s="10">
        <v>0.4</v>
      </c>
      <c r="F176" s="9">
        <v>2409159</v>
      </c>
      <c r="G176" s="7"/>
    </row>
    <row r="177" spans="1:7" x14ac:dyDescent="0.25">
      <c r="A177" s="8">
        <v>170</v>
      </c>
      <c r="B177" s="8" t="s">
        <v>162</v>
      </c>
      <c r="C177" s="10">
        <v>7</v>
      </c>
      <c r="D177" s="10">
        <v>19</v>
      </c>
      <c r="E177" s="10">
        <v>0.3</v>
      </c>
      <c r="F177" s="9">
        <v>23812627</v>
      </c>
      <c r="G177" s="7"/>
    </row>
    <row r="178" spans="1:7" x14ac:dyDescent="0.25">
      <c r="A178" s="8">
        <v>171</v>
      </c>
      <c r="B178" s="8" t="s">
        <v>175</v>
      </c>
      <c r="C178" s="10">
        <v>4</v>
      </c>
      <c r="D178" s="10">
        <v>4</v>
      </c>
      <c r="E178" s="10">
        <v>0.3</v>
      </c>
      <c r="F178" s="9">
        <v>14840631</v>
      </c>
      <c r="G178" s="7"/>
    </row>
    <row r="179" spans="1:7" x14ac:dyDescent="0.25">
      <c r="A179" s="8">
        <v>172</v>
      </c>
      <c r="B179" s="8" t="s">
        <v>171</v>
      </c>
      <c r="C179" s="10">
        <v>4</v>
      </c>
      <c r="D179" s="10">
        <v>7</v>
      </c>
      <c r="E179" s="10">
        <v>0.2</v>
      </c>
      <c r="F179" s="9">
        <v>17454561</v>
      </c>
      <c r="G179" s="7"/>
    </row>
    <row r="180" spans="1:7" x14ac:dyDescent="0.25">
      <c r="A180" s="8">
        <v>173</v>
      </c>
      <c r="B180" s="8" t="s">
        <v>172</v>
      </c>
      <c r="C180" s="10">
        <v>4</v>
      </c>
      <c r="D180" s="10">
        <v>5</v>
      </c>
      <c r="E180" s="10">
        <v>0.2</v>
      </c>
      <c r="F180" s="9">
        <v>19075919</v>
      </c>
      <c r="G180" s="7"/>
    </row>
    <row r="181" spans="1:7" x14ac:dyDescent="0.25">
      <c r="A181" s="8">
        <v>174</v>
      </c>
      <c r="B181" s="8" t="s">
        <v>177</v>
      </c>
      <c r="C181" s="10">
        <v>3</v>
      </c>
      <c r="D181" s="10">
        <v>17</v>
      </c>
      <c r="E181" s="10">
        <v>0.2</v>
      </c>
      <c r="F181" s="9">
        <v>12088427</v>
      </c>
      <c r="G181" s="7"/>
    </row>
    <row r="182" spans="1:7" x14ac:dyDescent="0.25">
      <c r="A182" s="8">
        <v>175</v>
      </c>
      <c r="B182" s="8" t="s">
        <v>186</v>
      </c>
      <c r="C182" s="10">
        <v>1</v>
      </c>
      <c r="D182" s="10">
        <v>139</v>
      </c>
      <c r="E182" s="10">
        <v>0.2</v>
      </c>
      <c r="F182" s="9">
        <v>4820985</v>
      </c>
      <c r="G182" s="7"/>
    </row>
    <row r="183" spans="1:7" x14ac:dyDescent="0.25">
      <c r="A183" s="8">
        <v>176</v>
      </c>
      <c r="B183" s="8" t="s">
        <v>166</v>
      </c>
      <c r="C183" s="10">
        <v>6</v>
      </c>
      <c r="D183" s="10">
        <v>4</v>
      </c>
      <c r="E183" s="10">
        <v>0.1</v>
      </c>
      <c r="F183" s="9">
        <v>54373757</v>
      </c>
      <c r="G183" s="7"/>
    </row>
    <row r="184" spans="1:7" x14ac:dyDescent="0.25">
      <c r="A184" s="8">
        <v>177</v>
      </c>
      <c r="B184" s="8" t="s">
        <v>169</v>
      </c>
      <c r="C184" s="10">
        <v>4</v>
      </c>
      <c r="D184" s="10">
        <v>27</v>
      </c>
      <c r="E184" s="10">
        <v>0.1</v>
      </c>
      <c r="F184" s="9">
        <v>29081827</v>
      </c>
      <c r="G184" s="7"/>
    </row>
    <row r="185" spans="1:7" x14ac:dyDescent="0.25">
      <c r="A185" s="8">
        <v>178</v>
      </c>
      <c r="B185" s="8" t="s">
        <v>174</v>
      </c>
      <c r="C185" s="10">
        <v>4</v>
      </c>
      <c r="D185" s="10">
        <v>2</v>
      </c>
      <c r="E185" s="10">
        <v>0.1</v>
      </c>
      <c r="F185" s="9">
        <v>32751429</v>
      </c>
      <c r="G185" s="7"/>
    </row>
    <row r="186" spans="1:7" x14ac:dyDescent="0.25">
      <c r="A186" s="8">
        <v>179</v>
      </c>
      <c r="B186" s="8" t="s">
        <v>194</v>
      </c>
      <c r="C186" s="10">
        <v>1</v>
      </c>
      <c r="D186" s="10">
        <v>4</v>
      </c>
      <c r="E186" s="10">
        <v>0.08</v>
      </c>
      <c r="F186" s="9">
        <v>11851274</v>
      </c>
      <c r="G186" s="7"/>
    </row>
    <row r="187" spans="1:7" x14ac:dyDescent="0.25">
      <c r="A187" s="8">
        <v>180</v>
      </c>
      <c r="B187" s="8" t="s">
        <v>182</v>
      </c>
      <c r="C187" s="10">
        <v>2</v>
      </c>
      <c r="D187" s="10">
        <v>21</v>
      </c>
      <c r="E187" s="10">
        <v>7.0000000000000007E-2</v>
      </c>
      <c r="F187" s="9">
        <v>27613258</v>
      </c>
      <c r="G187" s="7"/>
    </row>
    <row r="188" spans="1:7" x14ac:dyDescent="0.25">
      <c r="A188" s="8">
        <v>181</v>
      </c>
      <c r="B188" s="8" t="s">
        <v>164</v>
      </c>
      <c r="C188" s="10">
        <v>6</v>
      </c>
      <c r="D188" s="10">
        <v>6</v>
      </c>
      <c r="E188" s="10">
        <v>0.05</v>
      </c>
      <c r="F188" s="9">
        <v>114654045</v>
      </c>
      <c r="G188" s="7"/>
    </row>
    <row r="189" spans="1:7" x14ac:dyDescent="0.25">
      <c r="A189" s="8">
        <v>182</v>
      </c>
      <c r="B189" s="8" t="s">
        <v>189</v>
      </c>
      <c r="C189" s="10">
        <v>1</v>
      </c>
      <c r="D189" s="10">
        <v>7</v>
      </c>
      <c r="E189" s="10">
        <v>0.03</v>
      </c>
      <c r="F189" s="9">
        <v>31158631</v>
      </c>
      <c r="G189" s="7"/>
    </row>
    <row r="190" spans="1:7" x14ac:dyDescent="0.25">
      <c r="A190" s="8">
        <v>183</v>
      </c>
      <c r="B190" s="8" t="s">
        <v>140</v>
      </c>
      <c r="C190" s="10">
        <v>13</v>
      </c>
      <c r="D190" s="8"/>
      <c r="E190" s="8"/>
      <c r="F190" s="10">
        <v>0</v>
      </c>
      <c r="G190" s="7"/>
    </row>
    <row r="191" spans="1:7" x14ac:dyDescent="0.25">
      <c r="A191" s="8">
        <v>184</v>
      </c>
      <c r="B191" s="8" t="s">
        <v>185</v>
      </c>
      <c r="C191" s="10">
        <v>2</v>
      </c>
      <c r="D191" s="8"/>
      <c r="E191" s="8"/>
      <c r="F191" s="10">
        <v>0</v>
      </c>
      <c r="G191" s="7"/>
    </row>
    <row r="192" spans="1:7" x14ac:dyDescent="0.25">
      <c r="A192" s="8">
        <v>185</v>
      </c>
      <c r="B192" s="8" t="s">
        <v>203</v>
      </c>
      <c r="C192" s="8"/>
      <c r="D192" s="10">
        <v>26</v>
      </c>
      <c r="E192" s="8"/>
      <c r="F192" s="9">
        <v>12917314</v>
      </c>
      <c r="G192" s="7"/>
    </row>
    <row r="193" spans="1:7" x14ac:dyDescent="0.25">
      <c r="A193" s="8">
        <v>186</v>
      </c>
      <c r="B193" s="8" t="s">
        <v>204</v>
      </c>
      <c r="C193" s="8"/>
      <c r="D193" s="10">
        <v>3</v>
      </c>
      <c r="E193" s="8"/>
      <c r="F193" s="9">
        <v>97250965</v>
      </c>
      <c r="G193" s="7"/>
    </row>
    <row r="194" spans="1:7" x14ac:dyDescent="0.25">
      <c r="A194" s="8">
        <v>187</v>
      </c>
      <c r="B194" s="8" t="s">
        <v>205</v>
      </c>
      <c r="C194" s="8"/>
      <c r="D194" s="10">
        <v>6</v>
      </c>
      <c r="E194" s="8"/>
      <c r="F194" s="9">
        <v>45578341</v>
      </c>
      <c r="G194" s="7"/>
    </row>
    <row r="195" spans="1:7" x14ac:dyDescent="0.25">
      <c r="A195" s="8">
        <v>188</v>
      </c>
      <c r="B195" s="8" t="s">
        <v>206</v>
      </c>
      <c r="C195" s="8"/>
      <c r="D195" s="9">
        <v>3828</v>
      </c>
      <c r="E195" s="8"/>
      <c r="F195" s="9">
        <v>48845</v>
      </c>
      <c r="G195" s="7"/>
    </row>
    <row r="196" spans="1:7" x14ac:dyDescent="0.25">
      <c r="A196" s="8">
        <v>189</v>
      </c>
      <c r="B196" s="8" t="s">
        <v>207</v>
      </c>
      <c r="C196" s="8"/>
      <c r="D196" s="9">
        <v>4571</v>
      </c>
      <c r="E196" s="8"/>
      <c r="F196" s="9">
        <v>33692</v>
      </c>
      <c r="G196" s="7"/>
    </row>
    <row r="197" spans="1:7" x14ac:dyDescent="0.25">
      <c r="A197" s="8">
        <v>190</v>
      </c>
      <c r="B197" s="8" t="s">
        <v>208</v>
      </c>
      <c r="C197" s="8"/>
      <c r="D197" s="10">
        <v>43</v>
      </c>
      <c r="E197" s="8"/>
      <c r="F197" s="9">
        <v>3272806</v>
      </c>
      <c r="G197" s="7"/>
    </row>
    <row r="198" spans="1:7" x14ac:dyDescent="0.25">
      <c r="A198" s="8">
        <v>191</v>
      </c>
      <c r="B198" s="8" t="s">
        <v>209</v>
      </c>
      <c r="C198" s="8"/>
      <c r="D198" s="10">
        <v>7</v>
      </c>
      <c r="E198" s="8"/>
      <c r="F198" s="9">
        <v>16695214</v>
      </c>
      <c r="G198" s="7"/>
    </row>
    <row r="199" spans="1:7" x14ac:dyDescent="0.25">
      <c r="A199" s="8">
        <v>192</v>
      </c>
      <c r="B199" s="8" t="s">
        <v>210</v>
      </c>
      <c r="C199" s="8"/>
      <c r="D199" s="10">
        <v>214</v>
      </c>
      <c r="E199" s="8"/>
      <c r="F199" s="9">
        <v>280748</v>
      </c>
      <c r="G199" s="7"/>
    </row>
    <row r="200" spans="1:7" x14ac:dyDescent="0.25">
      <c r="A200" s="8">
        <v>193</v>
      </c>
      <c r="B200" s="8" t="s">
        <v>211</v>
      </c>
      <c r="C200" s="8"/>
      <c r="D200" s="10">
        <v>69</v>
      </c>
      <c r="E200" s="8"/>
      <c r="F200" s="9">
        <v>648427</v>
      </c>
      <c r="G200" s="7"/>
    </row>
    <row r="201" spans="1:7" x14ac:dyDescent="0.25">
      <c r="A201" s="8">
        <v>194</v>
      </c>
      <c r="B201" s="8" t="s">
        <v>212</v>
      </c>
      <c r="C201" s="8"/>
      <c r="D201" s="10">
        <v>11</v>
      </c>
      <c r="E201" s="8"/>
      <c r="F201" s="9">
        <v>3541383</v>
      </c>
      <c r="G201" s="7"/>
    </row>
    <row r="202" spans="1:7" x14ac:dyDescent="0.25">
      <c r="A202" s="8">
        <v>195</v>
      </c>
      <c r="B202" s="8" t="s">
        <v>213</v>
      </c>
      <c r="C202" s="8"/>
      <c r="D202" s="10">
        <v>35</v>
      </c>
      <c r="E202" s="8"/>
      <c r="F202" s="9">
        <v>770749</v>
      </c>
      <c r="G202" s="7"/>
    </row>
    <row r="203" spans="1:7" x14ac:dyDescent="0.25">
      <c r="A203" s="8">
        <v>196</v>
      </c>
      <c r="B203" s="8" t="s">
        <v>214</v>
      </c>
      <c r="C203" s="8"/>
      <c r="D203" s="10">
        <v>18</v>
      </c>
      <c r="E203" s="8"/>
      <c r="F203" s="9">
        <v>1315796</v>
      </c>
      <c r="G203" s="7"/>
    </row>
    <row r="204" spans="1:7" x14ac:dyDescent="0.25">
      <c r="A204" s="8">
        <v>197</v>
      </c>
      <c r="B204" s="8" t="s">
        <v>215</v>
      </c>
      <c r="C204" s="8"/>
      <c r="D204" s="10">
        <v>204</v>
      </c>
      <c r="E204" s="8"/>
      <c r="F204" s="9">
        <v>112472</v>
      </c>
      <c r="G204" s="7"/>
    </row>
    <row r="205" spans="1:7" x14ac:dyDescent="0.25">
      <c r="A205" s="8">
        <v>198</v>
      </c>
      <c r="B205" s="8" t="s">
        <v>216</v>
      </c>
      <c r="C205" s="8"/>
      <c r="D205" s="10">
        <v>8</v>
      </c>
      <c r="E205" s="8"/>
      <c r="F205" s="9">
        <v>2536074</v>
      </c>
      <c r="G205" s="7"/>
    </row>
    <row r="206" spans="1:7" x14ac:dyDescent="0.25">
      <c r="A206" s="8">
        <v>199</v>
      </c>
      <c r="B206" s="8" t="s">
        <v>217</v>
      </c>
      <c r="C206" s="8"/>
      <c r="D206" s="10">
        <v>3</v>
      </c>
      <c r="E206" s="8"/>
      <c r="F206" s="9">
        <v>7264685</v>
      </c>
      <c r="G206" s="7"/>
    </row>
    <row r="207" spans="1:7" x14ac:dyDescent="0.25">
      <c r="A207" s="8">
        <v>200</v>
      </c>
      <c r="B207" s="8" t="s">
        <v>218</v>
      </c>
      <c r="C207" s="8"/>
      <c r="D207" s="10">
        <v>20</v>
      </c>
      <c r="E207" s="8"/>
      <c r="F207" s="9">
        <v>895801</v>
      </c>
      <c r="G207" s="7"/>
    </row>
    <row r="208" spans="1:7" x14ac:dyDescent="0.25">
      <c r="A208" s="8">
        <v>201</v>
      </c>
      <c r="B208" s="8" t="s">
        <v>219</v>
      </c>
      <c r="C208" s="8"/>
      <c r="D208" s="10">
        <v>63</v>
      </c>
      <c r="E208" s="8"/>
      <c r="F208" s="9">
        <v>285223</v>
      </c>
      <c r="G208" s="7"/>
    </row>
    <row r="209" spans="1:7" x14ac:dyDescent="0.25">
      <c r="A209" s="8">
        <v>202</v>
      </c>
      <c r="B209" s="8" t="s">
        <v>220</v>
      </c>
      <c r="C209" s="8"/>
      <c r="D209" s="10">
        <v>98</v>
      </c>
      <c r="E209" s="8"/>
      <c r="F209" s="9">
        <v>183545</v>
      </c>
      <c r="G209" s="7"/>
    </row>
    <row r="210" spans="1:7" x14ac:dyDescent="0.25">
      <c r="A210" s="8">
        <v>203</v>
      </c>
      <c r="B210" s="8" t="s">
        <v>221</v>
      </c>
      <c r="C210" s="8"/>
      <c r="D210" s="10">
        <v>162</v>
      </c>
      <c r="E210" s="8"/>
      <c r="F210" s="9">
        <v>110906</v>
      </c>
      <c r="G210" s="7"/>
    </row>
    <row r="211" spans="1:7" x14ac:dyDescent="0.25">
      <c r="A211" s="8">
        <v>204</v>
      </c>
      <c r="B211" s="8" t="s">
        <v>222</v>
      </c>
      <c r="C211" s="8"/>
      <c r="D211" s="10">
        <v>222</v>
      </c>
      <c r="E211" s="8"/>
      <c r="F211" s="9">
        <v>71969</v>
      </c>
      <c r="G211" s="7"/>
    </row>
    <row r="212" spans="1:7" x14ac:dyDescent="0.25">
      <c r="A212" s="8">
        <v>205</v>
      </c>
      <c r="B212" s="8" t="s">
        <v>223</v>
      </c>
      <c r="C212" s="8"/>
      <c r="D212" s="10">
        <v>282</v>
      </c>
      <c r="E212" s="8"/>
      <c r="F212" s="9">
        <v>53162</v>
      </c>
      <c r="G212" s="7"/>
    </row>
    <row r="213" spans="1:7" x14ac:dyDescent="0.25">
      <c r="A213" s="8">
        <v>206</v>
      </c>
      <c r="B213" s="8" t="s">
        <v>224</v>
      </c>
      <c r="C213" s="8"/>
      <c r="D213" s="9">
        <v>3747</v>
      </c>
      <c r="E213" s="8"/>
      <c r="F213" s="9">
        <v>3469</v>
      </c>
      <c r="G213" s="7"/>
    </row>
    <row r="214" spans="1:7" x14ac:dyDescent="0.25">
      <c r="A214" s="8">
        <v>207</v>
      </c>
      <c r="B214" s="8" t="s">
        <v>225</v>
      </c>
      <c r="C214" s="8"/>
      <c r="D214" s="10">
        <v>211</v>
      </c>
      <c r="E214" s="8"/>
      <c r="F214" s="9">
        <v>56761</v>
      </c>
      <c r="G214" s="7"/>
    </row>
    <row r="215" spans="1:7" x14ac:dyDescent="0.25">
      <c r="A215" s="8">
        <v>208</v>
      </c>
      <c r="B215" s="8" t="s">
        <v>226</v>
      </c>
      <c r="C215" s="8"/>
      <c r="D215" s="9">
        <v>14981</v>
      </c>
      <c r="E215" s="8"/>
      <c r="F215" s="10">
        <v>801</v>
      </c>
      <c r="G215" s="7"/>
    </row>
    <row r="216" spans="1:7" x14ac:dyDescent="0.25">
      <c r="A216" s="8">
        <v>209</v>
      </c>
      <c r="B216" s="8" t="s">
        <v>227</v>
      </c>
      <c r="C216" s="8"/>
      <c r="D216" s="10">
        <v>112</v>
      </c>
      <c r="E216" s="8"/>
      <c r="F216" s="9">
        <v>98287</v>
      </c>
      <c r="G216" s="7"/>
    </row>
    <row r="217" spans="1:7" x14ac:dyDescent="0.25">
      <c r="A217" s="8">
        <v>210</v>
      </c>
      <c r="B217" s="8" t="s">
        <v>228</v>
      </c>
      <c r="C217" s="8"/>
      <c r="D217" s="10">
        <v>0.9</v>
      </c>
      <c r="E217" s="8"/>
      <c r="F217" s="9">
        <v>8929153</v>
      </c>
      <c r="G217" s="7"/>
    </row>
    <row r="218" spans="1:7" x14ac:dyDescent="0.25">
      <c r="A218" s="8">
        <v>211</v>
      </c>
      <c r="B218" s="8" t="s">
        <v>229</v>
      </c>
      <c r="C218" s="8"/>
      <c r="D218" s="10">
        <v>229</v>
      </c>
      <c r="E218" s="8"/>
      <c r="F218" s="9">
        <v>26199</v>
      </c>
      <c r="G218" s="7"/>
    </row>
    <row r="219" spans="1:7" x14ac:dyDescent="0.25">
      <c r="A219" s="8">
        <v>212</v>
      </c>
      <c r="B219" s="8" t="s">
        <v>230</v>
      </c>
      <c r="C219" s="8"/>
      <c r="D219" s="10">
        <v>608</v>
      </c>
      <c r="E219" s="8"/>
      <c r="F219" s="9">
        <v>9874</v>
      </c>
      <c r="G219" s="7"/>
    </row>
    <row r="220" spans="1:7" x14ac:dyDescent="0.25">
      <c r="A220" s="8">
        <v>213</v>
      </c>
      <c r="B220" s="8" t="s">
        <v>231</v>
      </c>
      <c r="C220" s="8"/>
      <c r="D220" s="10">
        <v>200</v>
      </c>
      <c r="E220" s="8"/>
      <c r="F220" s="9">
        <v>14990</v>
      </c>
      <c r="G220" s="7"/>
    </row>
    <row r="221" spans="1:7" x14ac:dyDescent="0.25">
      <c r="A221" s="8">
        <v>214</v>
      </c>
      <c r="B221" s="8" t="s">
        <v>232</v>
      </c>
      <c r="C221" s="8"/>
      <c r="D221" s="10">
        <v>0.9</v>
      </c>
      <c r="E221" s="8"/>
      <c r="F221" s="9">
        <v>2140560</v>
      </c>
      <c r="G221" s="7"/>
    </row>
    <row r="222" spans="1:7" x14ac:dyDescent="0.25">
      <c r="A222" s="8">
        <v>215</v>
      </c>
      <c r="B222" s="8" t="s">
        <v>233</v>
      </c>
      <c r="C222" s="8"/>
      <c r="D222" s="10">
        <v>173</v>
      </c>
      <c r="E222" s="8"/>
      <c r="F222" s="9">
        <v>5797</v>
      </c>
      <c r="G222" s="7"/>
    </row>
    <row r="223" spans="1:7" x14ac:dyDescent="0.25">
      <c r="A223" s="8"/>
      <c r="B223" s="8" t="s">
        <v>234</v>
      </c>
      <c r="C223" s="9">
        <v>351601</v>
      </c>
      <c r="D223" s="10">
        <v>728.3</v>
      </c>
      <c r="E223" s="10">
        <v>45.1</v>
      </c>
      <c r="F223" s="9">
        <v>7750747910</v>
      </c>
      <c r="G223" s="7"/>
    </row>
  </sheetData>
  <sortState xmlns:xlrd2="http://schemas.microsoft.com/office/spreadsheetml/2017/richdata2" ref="B8:G222">
    <sortCondition descending="1" ref="E8:E222"/>
  </sortState>
  <mergeCells count="7">
    <mergeCell ref="G4:G5"/>
    <mergeCell ref="A4:A5"/>
    <mergeCell ref="B4:B5"/>
    <mergeCell ref="C4:C5"/>
    <mergeCell ref="D4:D5"/>
    <mergeCell ref="E4:E5"/>
    <mergeCell ref="F4:F5"/>
  </mergeCells>
  <hyperlinks>
    <hyperlink ref="B2" r:id="rId1" display="https://www.worldometers.info/coronavirus/?utm_campaign=homeAdvegas1?%22" xr:uid="{9BFBE897-BEE5-4B06-8102-4011566F1B7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AC2CE-8987-4088-A80C-B56BEB52FC8A}">
  <dimension ref="A2:G223"/>
  <sheetViews>
    <sheetView workbookViewId="0"/>
  </sheetViews>
  <sheetFormatPr defaultRowHeight="15.75" x14ac:dyDescent="0.25"/>
  <cols>
    <col min="1" max="1" width="9.140625" style="11"/>
    <col min="2" max="2" width="22.28515625" style="11" bestFit="1" customWidth="1"/>
    <col min="3" max="3" width="8.42578125" style="11" bestFit="1" customWidth="1"/>
    <col min="4" max="4" width="10.85546875" style="11" bestFit="1" customWidth="1"/>
    <col min="5" max="5" width="11.85546875" style="11" bestFit="1" customWidth="1"/>
    <col min="6" max="6" width="14.28515625" style="11" bestFit="1" customWidth="1"/>
    <col min="7" max="7" width="83" style="12" customWidth="1"/>
    <col min="8" max="16384" width="9.140625" style="11"/>
  </cols>
  <sheetData>
    <row r="2" spans="1:7" x14ac:dyDescent="0.25">
      <c r="B2" s="13" t="s">
        <v>237</v>
      </c>
      <c r="E2" s="11" t="s">
        <v>439</v>
      </c>
    </row>
    <row r="4" spans="1:7" ht="15.75" customHeight="1" x14ac:dyDescent="0.25">
      <c r="A4" s="389" t="s">
        <v>8</v>
      </c>
      <c r="B4" s="389" t="s">
        <v>9</v>
      </c>
      <c r="C4" s="387" t="s">
        <v>10</v>
      </c>
      <c r="D4" s="389" t="s">
        <v>11</v>
      </c>
      <c r="E4" s="389" t="s">
        <v>12</v>
      </c>
      <c r="F4" s="389" t="s">
        <v>13</v>
      </c>
      <c r="G4" s="386" t="s">
        <v>14</v>
      </c>
    </row>
    <row r="5" spans="1:7" ht="15.75" customHeight="1" x14ac:dyDescent="0.25">
      <c r="A5" s="389"/>
      <c r="B5" s="389"/>
      <c r="C5" s="388"/>
      <c r="D5" s="389"/>
      <c r="E5" s="389"/>
      <c r="F5" s="389"/>
      <c r="G5" s="386"/>
    </row>
    <row r="6" spans="1:7" x14ac:dyDescent="0.25">
      <c r="A6" s="8"/>
      <c r="B6" s="8" t="s">
        <v>15</v>
      </c>
      <c r="C6" s="9">
        <v>351601</v>
      </c>
      <c r="D6" s="10">
        <v>728</v>
      </c>
      <c r="E6" s="10">
        <v>45.1</v>
      </c>
      <c r="F6" s="9">
        <v>7750747910</v>
      </c>
      <c r="G6" s="7"/>
    </row>
    <row r="7" spans="1:7" x14ac:dyDescent="0.25">
      <c r="A7" s="8"/>
      <c r="B7" s="8"/>
      <c r="C7" s="8"/>
      <c r="D7" s="8"/>
      <c r="E7" s="8"/>
      <c r="F7" s="8"/>
      <c r="G7" s="7"/>
    </row>
    <row r="8" spans="1:7" x14ac:dyDescent="0.25">
      <c r="A8" s="8">
        <v>1</v>
      </c>
      <c r="B8" s="8" t="s">
        <v>28</v>
      </c>
      <c r="C8" s="9">
        <v>4634</v>
      </c>
      <c r="D8" s="10">
        <v>58</v>
      </c>
      <c r="E8" s="10">
        <v>3</v>
      </c>
      <c r="F8" s="9">
        <v>1439323776</v>
      </c>
      <c r="G8" s="7"/>
    </row>
    <row r="9" spans="1:7" x14ac:dyDescent="0.25">
      <c r="A9" s="8">
        <v>2</v>
      </c>
      <c r="B9" s="8" t="s">
        <v>30</v>
      </c>
      <c r="C9" s="9">
        <v>4349</v>
      </c>
      <c r="D9" s="10">
        <v>109</v>
      </c>
      <c r="E9" s="10">
        <v>3</v>
      </c>
      <c r="F9" s="9">
        <v>1378641054</v>
      </c>
      <c r="G9" s="7"/>
    </row>
    <row r="10" spans="1:7" ht="63" x14ac:dyDescent="0.25">
      <c r="A10" s="8">
        <v>3</v>
      </c>
      <c r="B10" s="8" t="s">
        <v>16</v>
      </c>
      <c r="C10" s="9">
        <v>100545</v>
      </c>
      <c r="D10" s="9">
        <v>5215</v>
      </c>
      <c r="E10" s="10">
        <v>304</v>
      </c>
      <c r="F10" s="9">
        <v>330811717</v>
      </c>
      <c r="G10" s="7" t="s">
        <v>235</v>
      </c>
    </row>
    <row r="11" spans="1:7" x14ac:dyDescent="0.25">
      <c r="A11" s="8">
        <v>4</v>
      </c>
      <c r="B11" s="8" t="s">
        <v>37</v>
      </c>
      <c r="C11" s="9">
        <v>1418</v>
      </c>
      <c r="D11" s="10">
        <v>85</v>
      </c>
      <c r="E11" s="10">
        <v>5</v>
      </c>
      <c r="F11" s="9">
        <v>273231828</v>
      </c>
      <c r="G11" s="7"/>
    </row>
    <row r="12" spans="1:7" x14ac:dyDescent="0.25">
      <c r="A12" s="8">
        <v>5</v>
      </c>
      <c r="B12" s="8" t="s">
        <v>40</v>
      </c>
      <c r="C12" s="9">
        <v>1197</v>
      </c>
      <c r="D12" s="10">
        <v>262</v>
      </c>
      <c r="E12" s="10">
        <v>5</v>
      </c>
      <c r="F12" s="9">
        <v>220438956</v>
      </c>
      <c r="G12" s="7"/>
    </row>
    <row r="13" spans="1:7" x14ac:dyDescent="0.25">
      <c r="A13" s="8">
        <v>6</v>
      </c>
      <c r="B13" s="8" t="s">
        <v>21</v>
      </c>
      <c r="C13" s="9">
        <v>24512</v>
      </c>
      <c r="D13" s="9">
        <v>1842</v>
      </c>
      <c r="E13" s="10">
        <v>115</v>
      </c>
      <c r="F13" s="9">
        <v>212409786</v>
      </c>
      <c r="G13" s="7"/>
    </row>
    <row r="14" spans="1:7" x14ac:dyDescent="0.25">
      <c r="A14" s="8">
        <v>7</v>
      </c>
      <c r="B14" s="8" t="s">
        <v>67</v>
      </c>
      <c r="C14" s="10">
        <v>249</v>
      </c>
      <c r="D14" s="10">
        <v>41</v>
      </c>
      <c r="E14" s="10">
        <v>1</v>
      </c>
      <c r="F14" s="9">
        <v>205584173</v>
      </c>
      <c r="G14" s="7"/>
    </row>
    <row r="15" spans="1:7" x14ac:dyDescent="0.25">
      <c r="A15" s="8">
        <v>8</v>
      </c>
      <c r="B15" s="8" t="s">
        <v>53</v>
      </c>
      <c r="C15" s="10">
        <v>522</v>
      </c>
      <c r="D15" s="10">
        <v>223</v>
      </c>
      <c r="E15" s="10">
        <v>3</v>
      </c>
      <c r="F15" s="9">
        <v>164524398</v>
      </c>
      <c r="G15" s="7"/>
    </row>
    <row r="16" spans="1:7" x14ac:dyDescent="0.25">
      <c r="A16" s="8">
        <v>9</v>
      </c>
      <c r="B16" s="8" t="s">
        <v>32</v>
      </c>
      <c r="C16" s="9">
        <v>3807</v>
      </c>
      <c r="D16" s="9">
        <v>2483</v>
      </c>
      <c r="E16" s="10">
        <v>26</v>
      </c>
      <c r="F16" s="9">
        <v>145928485</v>
      </c>
      <c r="G16" s="7"/>
    </row>
    <row r="17" spans="1:7" x14ac:dyDescent="0.25">
      <c r="A17" s="8">
        <v>10</v>
      </c>
      <c r="B17" s="8" t="s">
        <v>24</v>
      </c>
      <c r="C17" s="9">
        <v>7633</v>
      </c>
      <c r="D17" s="10">
        <v>552</v>
      </c>
      <c r="E17" s="10">
        <v>59</v>
      </c>
      <c r="F17" s="9">
        <v>128796145</v>
      </c>
      <c r="G17" s="7"/>
    </row>
    <row r="18" spans="1:7" ht="31.5" x14ac:dyDescent="0.25">
      <c r="A18" s="8">
        <v>11</v>
      </c>
      <c r="B18" s="8" t="s">
        <v>43</v>
      </c>
      <c r="C18" s="10">
        <v>846</v>
      </c>
      <c r="D18" s="10">
        <v>131</v>
      </c>
      <c r="E18" s="10">
        <v>7</v>
      </c>
      <c r="F18" s="9">
        <v>126512743</v>
      </c>
      <c r="G18" s="7" t="s">
        <v>236</v>
      </c>
    </row>
    <row r="19" spans="1:7" x14ac:dyDescent="0.25">
      <c r="A19" s="8">
        <v>12</v>
      </c>
      <c r="B19" s="8" t="s">
        <v>164</v>
      </c>
      <c r="C19" s="10">
        <v>6</v>
      </c>
      <c r="D19" s="10">
        <v>6</v>
      </c>
      <c r="E19" s="10">
        <v>0.05</v>
      </c>
      <c r="F19" s="9">
        <v>114654045</v>
      </c>
      <c r="G19" s="7"/>
    </row>
    <row r="20" spans="1:7" x14ac:dyDescent="0.25">
      <c r="A20" s="8">
        <v>13</v>
      </c>
      <c r="B20" s="8" t="s">
        <v>42</v>
      </c>
      <c r="C20" s="10">
        <v>886</v>
      </c>
      <c r="D20" s="10">
        <v>134</v>
      </c>
      <c r="E20" s="10">
        <v>8</v>
      </c>
      <c r="F20" s="9">
        <v>109431787</v>
      </c>
      <c r="G20" s="7"/>
    </row>
    <row r="21" spans="1:7" ht="31.5" x14ac:dyDescent="0.25">
      <c r="A21" s="8">
        <v>14</v>
      </c>
      <c r="B21" s="8" t="s">
        <v>45</v>
      </c>
      <c r="C21" s="10">
        <v>797</v>
      </c>
      <c r="D21" s="10">
        <v>184</v>
      </c>
      <c r="E21" s="10">
        <v>8</v>
      </c>
      <c r="F21" s="9">
        <v>102130974</v>
      </c>
      <c r="G21" s="7" t="s">
        <v>46</v>
      </c>
    </row>
    <row r="22" spans="1:7" x14ac:dyDescent="0.25">
      <c r="A22" s="8">
        <v>15</v>
      </c>
      <c r="B22" s="8" t="s">
        <v>204</v>
      </c>
      <c r="C22" s="8"/>
      <c r="D22" s="10">
        <v>3</v>
      </c>
      <c r="E22" s="8"/>
      <c r="F22" s="9">
        <v>97250965</v>
      </c>
      <c r="G22" s="7"/>
    </row>
    <row r="23" spans="1:7" x14ac:dyDescent="0.25">
      <c r="A23" s="8">
        <v>16</v>
      </c>
      <c r="B23" s="8" t="s">
        <v>91</v>
      </c>
      <c r="C23" s="10">
        <v>68</v>
      </c>
      <c r="D23" s="10">
        <v>27</v>
      </c>
      <c r="E23" s="10">
        <v>0.8</v>
      </c>
      <c r="F23" s="9">
        <v>89256655</v>
      </c>
      <c r="G23" s="7"/>
    </row>
    <row r="24" spans="1:7" x14ac:dyDescent="0.25">
      <c r="A24" s="8">
        <v>17</v>
      </c>
      <c r="B24" s="8" t="s">
        <v>29</v>
      </c>
      <c r="C24" s="9">
        <v>4397</v>
      </c>
      <c r="D24" s="9">
        <v>1884</v>
      </c>
      <c r="E24" s="10">
        <v>52</v>
      </c>
      <c r="F24" s="9">
        <v>84247422</v>
      </c>
      <c r="G24" s="7"/>
    </row>
    <row r="25" spans="1:7" x14ac:dyDescent="0.25">
      <c r="A25" s="8">
        <v>18</v>
      </c>
      <c r="B25" s="8" t="s">
        <v>25</v>
      </c>
      <c r="C25" s="9">
        <v>7508</v>
      </c>
      <c r="D25" s="9">
        <v>1663</v>
      </c>
      <c r="E25" s="10">
        <v>90</v>
      </c>
      <c r="F25" s="9">
        <v>83883203</v>
      </c>
      <c r="G25" s="7"/>
    </row>
    <row r="26" spans="1:7" x14ac:dyDescent="0.25">
      <c r="A26" s="8">
        <v>19</v>
      </c>
      <c r="B26" s="8" t="s">
        <v>23</v>
      </c>
      <c r="C26" s="9">
        <v>8498</v>
      </c>
      <c r="D26" s="9">
        <v>2164</v>
      </c>
      <c r="E26" s="10">
        <v>101</v>
      </c>
      <c r="F26" s="9">
        <v>83757965</v>
      </c>
      <c r="G26" s="7"/>
    </row>
    <row r="27" spans="1:7" x14ac:dyDescent="0.25">
      <c r="A27" s="8">
        <v>20</v>
      </c>
      <c r="B27" s="8" t="s">
        <v>98</v>
      </c>
      <c r="C27" s="10">
        <v>57</v>
      </c>
      <c r="D27" s="10">
        <v>44</v>
      </c>
      <c r="E27" s="10">
        <v>0.8</v>
      </c>
      <c r="F27" s="9">
        <v>69783058</v>
      </c>
      <c r="G27" s="7"/>
    </row>
    <row r="28" spans="1:7" x14ac:dyDescent="0.25">
      <c r="A28" s="8">
        <v>21</v>
      </c>
      <c r="B28" s="8" t="s">
        <v>17</v>
      </c>
      <c r="C28" s="9">
        <v>37048</v>
      </c>
      <c r="D28" s="9">
        <v>3909</v>
      </c>
      <c r="E28" s="10">
        <v>546</v>
      </c>
      <c r="F28" s="9">
        <v>67851047</v>
      </c>
      <c r="G28" s="7"/>
    </row>
    <row r="29" spans="1:7" x14ac:dyDescent="0.25">
      <c r="A29" s="8">
        <v>22</v>
      </c>
      <c r="B29" s="8" t="s">
        <v>19</v>
      </c>
      <c r="C29" s="9">
        <v>28530</v>
      </c>
      <c r="D29" s="9">
        <v>2800</v>
      </c>
      <c r="E29" s="10">
        <v>437</v>
      </c>
      <c r="F29" s="9">
        <v>65259581</v>
      </c>
      <c r="G29" s="7"/>
    </row>
    <row r="30" spans="1:7" x14ac:dyDescent="0.25">
      <c r="A30" s="8">
        <v>23</v>
      </c>
      <c r="B30" s="8" t="s">
        <v>18</v>
      </c>
      <c r="C30" s="9">
        <v>32955</v>
      </c>
      <c r="D30" s="9">
        <v>3813</v>
      </c>
      <c r="E30" s="10">
        <v>545</v>
      </c>
      <c r="F30" s="9">
        <v>60470230</v>
      </c>
      <c r="G30" s="7"/>
    </row>
    <row r="31" spans="1:7" x14ac:dyDescent="0.25">
      <c r="A31" s="8">
        <v>24</v>
      </c>
      <c r="B31" s="8" t="s">
        <v>127</v>
      </c>
      <c r="C31" s="10">
        <v>21</v>
      </c>
      <c r="D31" s="10">
        <v>9</v>
      </c>
      <c r="E31" s="10">
        <v>0.4</v>
      </c>
      <c r="F31" s="9">
        <v>59545671</v>
      </c>
      <c r="G31" s="7"/>
    </row>
    <row r="32" spans="1:7" x14ac:dyDescent="0.25">
      <c r="A32" s="8">
        <v>25</v>
      </c>
      <c r="B32" s="8" t="s">
        <v>52</v>
      </c>
      <c r="C32" s="10">
        <v>524</v>
      </c>
      <c r="D32" s="10">
        <v>410</v>
      </c>
      <c r="E32" s="10">
        <v>9</v>
      </c>
      <c r="F32" s="9">
        <v>59232433</v>
      </c>
      <c r="G32" s="7"/>
    </row>
    <row r="33" spans="1:7" x14ac:dyDescent="0.25">
      <c r="A33" s="8">
        <v>26</v>
      </c>
      <c r="B33" s="8" t="s">
        <v>166</v>
      </c>
      <c r="C33" s="10">
        <v>6</v>
      </c>
      <c r="D33" s="10">
        <v>4</v>
      </c>
      <c r="E33" s="10">
        <v>0.1</v>
      </c>
      <c r="F33" s="9">
        <v>54373757</v>
      </c>
      <c r="G33" s="7"/>
    </row>
    <row r="34" spans="1:7" x14ac:dyDescent="0.25">
      <c r="A34" s="8">
        <v>27</v>
      </c>
      <c r="B34" s="8" t="s">
        <v>100</v>
      </c>
      <c r="C34" s="10">
        <v>52</v>
      </c>
      <c r="D34" s="10">
        <v>25</v>
      </c>
      <c r="E34" s="10">
        <v>1</v>
      </c>
      <c r="F34" s="9">
        <v>53644375</v>
      </c>
      <c r="G34" s="7"/>
    </row>
    <row r="35" spans="1:7" ht="31.5" x14ac:dyDescent="0.25">
      <c r="A35" s="8">
        <v>28</v>
      </c>
      <c r="B35" s="8" t="s">
        <v>62</v>
      </c>
      <c r="C35" s="10">
        <v>269</v>
      </c>
      <c r="D35" s="10">
        <v>219</v>
      </c>
      <c r="E35" s="10">
        <v>5</v>
      </c>
      <c r="F35" s="9">
        <v>51264961</v>
      </c>
      <c r="G35" s="7" t="s">
        <v>63</v>
      </c>
    </row>
    <row r="36" spans="1:7" x14ac:dyDescent="0.25">
      <c r="A36" s="8">
        <v>29</v>
      </c>
      <c r="B36" s="8" t="s">
        <v>47</v>
      </c>
      <c r="C36" s="10">
        <v>776</v>
      </c>
      <c r="D36" s="10">
        <v>453</v>
      </c>
      <c r="E36" s="10">
        <v>15</v>
      </c>
      <c r="F36" s="9">
        <v>50828154</v>
      </c>
      <c r="G36" s="7"/>
    </row>
    <row r="37" spans="1:7" x14ac:dyDescent="0.25">
      <c r="A37" s="8">
        <v>30</v>
      </c>
      <c r="B37" s="8" t="s">
        <v>20</v>
      </c>
      <c r="C37" s="9">
        <v>27117</v>
      </c>
      <c r="D37" s="9">
        <v>6060</v>
      </c>
      <c r="E37" s="10">
        <v>580</v>
      </c>
      <c r="F37" s="9">
        <v>46753049</v>
      </c>
      <c r="G37" s="7"/>
    </row>
    <row r="38" spans="1:7" x14ac:dyDescent="0.25">
      <c r="A38" s="8">
        <v>31</v>
      </c>
      <c r="B38" s="8" t="s">
        <v>205</v>
      </c>
      <c r="C38" s="8"/>
      <c r="D38" s="10">
        <v>6</v>
      </c>
      <c r="E38" s="8"/>
      <c r="F38" s="9">
        <v>45578341</v>
      </c>
      <c r="G38" s="7"/>
    </row>
    <row r="39" spans="1:7" x14ac:dyDescent="0.25">
      <c r="A39" s="8">
        <v>32</v>
      </c>
      <c r="B39" s="8" t="s">
        <v>55</v>
      </c>
      <c r="C39" s="10">
        <v>490</v>
      </c>
      <c r="D39" s="10">
        <v>293</v>
      </c>
      <c r="E39" s="10">
        <v>11</v>
      </c>
      <c r="F39" s="9">
        <v>45154246</v>
      </c>
      <c r="G39" s="7"/>
    </row>
    <row r="40" spans="1:7" x14ac:dyDescent="0.25">
      <c r="A40" s="8">
        <v>33</v>
      </c>
      <c r="B40" s="8" t="s">
        <v>50</v>
      </c>
      <c r="C40" s="10">
        <v>617</v>
      </c>
      <c r="D40" s="10">
        <v>199</v>
      </c>
      <c r="E40" s="10">
        <v>14</v>
      </c>
      <c r="F40" s="9">
        <v>43767938</v>
      </c>
      <c r="G40" s="7"/>
    </row>
    <row r="41" spans="1:7" x14ac:dyDescent="0.25">
      <c r="A41" s="8">
        <v>34</v>
      </c>
      <c r="B41" s="8" t="s">
        <v>48</v>
      </c>
      <c r="C41" s="10">
        <v>644</v>
      </c>
      <c r="D41" s="10">
        <v>493</v>
      </c>
      <c r="E41" s="10">
        <v>15</v>
      </c>
      <c r="F41" s="9">
        <v>43757987</v>
      </c>
      <c r="G41" s="7"/>
    </row>
    <row r="42" spans="1:7" x14ac:dyDescent="0.25">
      <c r="A42" s="8">
        <v>35</v>
      </c>
      <c r="B42" s="8" t="s">
        <v>78</v>
      </c>
      <c r="C42" s="10">
        <v>170</v>
      </c>
      <c r="D42" s="10">
        <v>91</v>
      </c>
      <c r="E42" s="10">
        <v>4</v>
      </c>
      <c r="F42" s="9">
        <v>43738792</v>
      </c>
      <c r="G42" s="7"/>
    </row>
    <row r="43" spans="1:7" x14ac:dyDescent="0.25">
      <c r="A43" s="8">
        <v>36</v>
      </c>
      <c r="B43" s="8" t="s">
        <v>79</v>
      </c>
      <c r="C43" s="10">
        <v>169</v>
      </c>
      <c r="D43" s="10">
        <v>121</v>
      </c>
      <c r="E43" s="10">
        <v>4</v>
      </c>
      <c r="F43" s="9">
        <v>40125564</v>
      </c>
      <c r="G43" s="7"/>
    </row>
    <row r="44" spans="1:7" x14ac:dyDescent="0.25">
      <c r="A44" s="8">
        <v>37</v>
      </c>
      <c r="B44" s="8" t="s">
        <v>70</v>
      </c>
      <c r="C44" s="10">
        <v>220</v>
      </c>
      <c r="D44" s="10">
        <v>305</v>
      </c>
      <c r="E44" s="10">
        <v>6</v>
      </c>
      <c r="F44" s="9">
        <v>38834157</v>
      </c>
      <c r="G44" s="7"/>
    </row>
    <row r="45" spans="1:7" x14ac:dyDescent="0.25">
      <c r="A45" s="8">
        <v>38</v>
      </c>
      <c r="B45" s="8" t="s">
        <v>41</v>
      </c>
      <c r="C45" s="9">
        <v>1024</v>
      </c>
      <c r="D45" s="10">
        <v>583</v>
      </c>
      <c r="E45" s="10">
        <v>27</v>
      </c>
      <c r="F45" s="9">
        <v>37850537</v>
      </c>
      <c r="G45" s="7"/>
    </row>
    <row r="46" spans="1:7" x14ac:dyDescent="0.25">
      <c r="A46" s="8">
        <v>39</v>
      </c>
      <c r="B46" s="8" t="s">
        <v>26</v>
      </c>
      <c r="C46" s="9">
        <v>6639</v>
      </c>
      <c r="D46" s="9">
        <v>2298</v>
      </c>
      <c r="E46" s="10">
        <v>176</v>
      </c>
      <c r="F46" s="9">
        <v>37709091</v>
      </c>
      <c r="G46" s="7"/>
    </row>
    <row r="47" spans="1:7" x14ac:dyDescent="0.25">
      <c r="A47" s="8">
        <v>40</v>
      </c>
      <c r="B47" s="8" t="s">
        <v>72</v>
      </c>
      <c r="C47" s="10">
        <v>202</v>
      </c>
      <c r="D47" s="10">
        <v>206</v>
      </c>
      <c r="E47" s="10">
        <v>5</v>
      </c>
      <c r="F47" s="9">
        <v>36866123</v>
      </c>
      <c r="G47" s="7"/>
    </row>
    <row r="48" spans="1:7" x14ac:dyDescent="0.25">
      <c r="A48" s="8">
        <v>41</v>
      </c>
      <c r="B48" s="8" t="s">
        <v>57</v>
      </c>
      <c r="C48" s="10">
        <v>411</v>
      </c>
      <c r="D48" s="9">
        <v>2207</v>
      </c>
      <c r="E48" s="10">
        <v>12</v>
      </c>
      <c r="F48" s="9">
        <v>34757706</v>
      </c>
      <c r="G48" s="7"/>
    </row>
    <row r="49" spans="1:7" x14ac:dyDescent="0.25">
      <c r="A49" s="8">
        <v>42</v>
      </c>
      <c r="B49" s="8" t="s">
        <v>135</v>
      </c>
      <c r="C49" s="10">
        <v>14</v>
      </c>
      <c r="D49" s="10">
        <v>98</v>
      </c>
      <c r="E49" s="10">
        <v>0.4</v>
      </c>
      <c r="F49" s="9">
        <v>33419241</v>
      </c>
      <c r="G49" s="7"/>
    </row>
    <row r="50" spans="1:7" x14ac:dyDescent="0.25">
      <c r="A50" s="8">
        <v>43</v>
      </c>
      <c r="B50" s="8" t="s">
        <v>33</v>
      </c>
      <c r="C50" s="9">
        <v>3788</v>
      </c>
      <c r="D50" s="9">
        <v>3941</v>
      </c>
      <c r="E50" s="10">
        <v>115</v>
      </c>
      <c r="F50" s="9">
        <v>32924686</v>
      </c>
      <c r="G50" s="7"/>
    </row>
    <row r="51" spans="1:7" x14ac:dyDescent="0.25">
      <c r="A51" s="8">
        <v>44</v>
      </c>
      <c r="B51" s="8" t="s">
        <v>174</v>
      </c>
      <c r="C51" s="10">
        <v>4</v>
      </c>
      <c r="D51" s="10">
        <v>2</v>
      </c>
      <c r="E51" s="10">
        <v>0.1</v>
      </c>
      <c r="F51" s="9">
        <v>32751429</v>
      </c>
      <c r="G51" s="7"/>
    </row>
    <row r="52" spans="1:7" x14ac:dyDescent="0.25">
      <c r="A52" s="8">
        <v>45</v>
      </c>
      <c r="B52" s="8" t="s">
        <v>83</v>
      </c>
      <c r="C52" s="10">
        <v>115</v>
      </c>
      <c r="D52" s="10">
        <v>235</v>
      </c>
      <c r="E52" s="10">
        <v>4</v>
      </c>
      <c r="F52" s="9">
        <v>32323664</v>
      </c>
      <c r="G52" s="7"/>
    </row>
    <row r="53" spans="1:7" x14ac:dyDescent="0.25">
      <c r="A53" s="8">
        <v>46</v>
      </c>
      <c r="B53" s="8" t="s">
        <v>189</v>
      </c>
      <c r="C53" s="10">
        <v>1</v>
      </c>
      <c r="D53" s="10">
        <v>7</v>
      </c>
      <c r="E53" s="10">
        <v>0.03</v>
      </c>
      <c r="F53" s="9">
        <v>31158631</v>
      </c>
      <c r="G53" s="7"/>
    </row>
    <row r="54" spans="1:7" x14ac:dyDescent="0.25">
      <c r="A54" s="8">
        <v>47</v>
      </c>
      <c r="B54" s="8" t="s">
        <v>114</v>
      </c>
      <c r="C54" s="10">
        <v>34</v>
      </c>
      <c r="D54" s="10">
        <v>230</v>
      </c>
      <c r="E54" s="10">
        <v>1</v>
      </c>
      <c r="F54" s="9">
        <v>31003853</v>
      </c>
      <c r="G54" s="7"/>
    </row>
    <row r="55" spans="1:7" x14ac:dyDescent="0.25">
      <c r="A55" s="8">
        <v>48</v>
      </c>
      <c r="B55" s="8" t="s">
        <v>103</v>
      </c>
      <c r="C55" s="10">
        <v>49</v>
      </c>
      <c r="D55" s="10">
        <v>8</v>
      </c>
      <c r="E55" s="10">
        <v>2</v>
      </c>
      <c r="F55" s="9">
        <v>29755574</v>
      </c>
      <c r="G55" s="7"/>
    </row>
    <row r="56" spans="1:7" x14ac:dyDescent="0.25">
      <c r="A56" s="8">
        <v>49</v>
      </c>
      <c r="B56" s="8" t="s">
        <v>169</v>
      </c>
      <c r="C56" s="10">
        <v>4</v>
      </c>
      <c r="D56" s="10">
        <v>27</v>
      </c>
      <c r="E56" s="10">
        <v>0.1</v>
      </c>
      <c r="F56" s="9">
        <v>29081827</v>
      </c>
      <c r="G56" s="7"/>
    </row>
    <row r="57" spans="1:7" x14ac:dyDescent="0.25">
      <c r="A57" s="8">
        <v>50</v>
      </c>
      <c r="B57" s="8" t="s">
        <v>146</v>
      </c>
      <c r="C57" s="10">
        <v>11</v>
      </c>
      <c r="D57" s="10">
        <v>43</v>
      </c>
      <c r="E57" s="10">
        <v>0.4</v>
      </c>
      <c r="F57" s="9">
        <v>28443500</v>
      </c>
      <c r="G57" s="7"/>
    </row>
    <row r="58" spans="1:7" x14ac:dyDescent="0.25">
      <c r="A58" s="8">
        <v>51</v>
      </c>
      <c r="B58" s="8" t="s">
        <v>182</v>
      </c>
      <c r="C58" s="10">
        <v>2</v>
      </c>
      <c r="D58" s="10">
        <v>21</v>
      </c>
      <c r="E58" s="10">
        <v>7.0000000000000007E-2</v>
      </c>
      <c r="F58" s="9">
        <v>27613258</v>
      </c>
      <c r="G58" s="7"/>
    </row>
    <row r="59" spans="1:7" x14ac:dyDescent="0.25">
      <c r="A59" s="8">
        <v>52</v>
      </c>
      <c r="B59" s="8" t="s">
        <v>74</v>
      </c>
      <c r="C59" s="10">
        <v>175</v>
      </c>
      <c r="D59" s="10">
        <v>205</v>
      </c>
      <c r="E59" s="10">
        <v>7</v>
      </c>
      <c r="F59" s="9">
        <v>26473989</v>
      </c>
      <c r="G59" s="7"/>
    </row>
    <row r="60" spans="1:7" x14ac:dyDescent="0.25">
      <c r="A60" s="8">
        <v>53</v>
      </c>
      <c r="B60" s="8" t="s">
        <v>117</v>
      </c>
      <c r="C60" s="10">
        <v>30</v>
      </c>
      <c r="D60" s="10">
        <v>94</v>
      </c>
      <c r="E60" s="10">
        <v>1</v>
      </c>
      <c r="F60" s="9">
        <v>26307273</v>
      </c>
      <c r="G60" s="7"/>
    </row>
    <row r="61" spans="1:7" x14ac:dyDescent="0.25">
      <c r="A61" s="8">
        <v>54</v>
      </c>
      <c r="B61" s="8" t="s">
        <v>86</v>
      </c>
      <c r="C61" s="10">
        <v>102</v>
      </c>
      <c r="D61" s="10">
        <v>280</v>
      </c>
      <c r="E61" s="10">
        <v>4</v>
      </c>
      <c r="F61" s="9">
        <v>25469872</v>
      </c>
      <c r="G61" s="7"/>
    </row>
    <row r="62" spans="1:7" x14ac:dyDescent="0.25">
      <c r="A62" s="8">
        <v>55</v>
      </c>
      <c r="B62" s="8" t="s">
        <v>95</v>
      </c>
      <c r="C62" s="10">
        <v>63</v>
      </c>
      <c r="D62" s="10">
        <v>39</v>
      </c>
      <c r="E62" s="10">
        <v>3</v>
      </c>
      <c r="F62" s="9">
        <v>24105596</v>
      </c>
      <c r="G62" s="7"/>
    </row>
    <row r="63" spans="1:7" x14ac:dyDescent="0.25">
      <c r="A63" s="8">
        <v>56</v>
      </c>
      <c r="B63" s="8" t="s">
        <v>162</v>
      </c>
      <c r="C63" s="10">
        <v>7</v>
      </c>
      <c r="D63" s="10">
        <v>19</v>
      </c>
      <c r="E63" s="10">
        <v>0.3</v>
      </c>
      <c r="F63" s="9">
        <v>23812627</v>
      </c>
      <c r="G63" s="7"/>
    </row>
    <row r="64" spans="1:7" x14ac:dyDescent="0.25">
      <c r="A64" s="8">
        <v>57</v>
      </c>
      <c r="B64" s="8" t="s">
        <v>151</v>
      </c>
      <c r="C64" s="10">
        <v>10</v>
      </c>
      <c r="D64" s="10">
        <v>62</v>
      </c>
      <c r="E64" s="10">
        <v>0.5</v>
      </c>
      <c r="F64" s="9">
        <v>21404496</v>
      </c>
      <c r="G64" s="7"/>
    </row>
    <row r="65" spans="1:7" x14ac:dyDescent="0.25">
      <c r="A65" s="8">
        <v>58</v>
      </c>
      <c r="B65" s="8" t="s">
        <v>101</v>
      </c>
      <c r="C65" s="10">
        <v>52</v>
      </c>
      <c r="D65" s="10">
        <v>40</v>
      </c>
      <c r="E65" s="10">
        <v>2</v>
      </c>
      <c r="F65" s="9">
        <v>20840103</v>
      </c>
      <c r="G65" s="7"/>
    </row>
    <row r="66" spans="1:7" x14ac:dyDescent="0.25">
      <c r="A66" s="8">
        <v>59</v>
      </c>
      <c r="B66" s="8" t="s">
        <v>90</v>
      </c>
      <c r="C66" s="10">
        <v>70</v>
      </c>
      <c r="D66" s="10">
        <v>53</v>
      </c>
      <c r="E66" s="10">
        <v>3</v>
      </c>
      <c r="F66" s="9">
        <v>20186088</v>
      </c>
      <c r="G66" s="7"/>
    </row>
    <row r="67" spans="1:7" x14ac:dyDescent="0.25">
      <c r="A67" s="8">
        <v>60</v>
      </c>
      <c r="B67" s="8" t="s">
        <v>39</v>
      </c>
      <c r="C67" s="9">
        <v>1216</v>
      </c>
      <c r="D67" s="10">
        <v>957</v>
      </c>
      <c r="E67" s="10">
        <v>63</v>
      </c>
      <c r="F67" s="9">
        <v>19249480</v>
      </c>
      <c r="G67" s="7"/>
    </row>
    <row r="68" spans="1:7" x14ac:dyDescent="0.25">
      <c r="A68" s="8">
        <v>61</v>
      </c>
      <c r="B68" s="8" t="s">
        <v>44</v>
      </c>
      <c r="C68" s="10">
        <v>806</v>
      </c>
      <c r="D68" s="9">
        <v>4082</v>
      </c>
      <c r="E68" s="10">
        <v>42</v>
      </c>
      <c r="F68" s="9">
        <v>19099822</v>
      </c>
      <c r="G68" s="7"/>
    </row>
    <row r="69" spans="1:7" x14ac:dyDescent="0.25">
      <c r="A69" s="8">
        <v>62</v>
      </c>
      <c r="B69" s="8" t="s">
        <v>172</v>
      </c>
      <c r="C69" s="10">
        <v>4</v>
      </c>
      <c r="D69" s="10">
        <v>5</v>
      </c>
      <c r="E69" s="10">
        <v>0.2</v>
      </c>
      <c r="F69" s="9">
        <v>19075919</v>
      </c>
      <c r="G69" s="7"/>
    </row>
    <row r="70" spans="1:7" x14ac:dyDescent="0.25">
      <c r="A70" s="8">
        <v>63</v>
      </c>
      <c r="B70" s="8" t="s">
        <v>109</v>
      </c>
      <c r="C70" s="10">
        <v>37</v>
      </c>
      <c r="D70" s="10">
        <v>478</v>
      </c>
      <c r="E70" s="10">
        <v>2</v>
      </c>
      <c r="F70" s="9">
        <v>18753881</v>
      </c>
      <c r="G70" s="7"/>
    </row>
    <row r="71" spans="1:7" x14ac:dyDescent="0.25">
      <c r="A71" s="8">
        <v>64</v>
      </c>
      <c r="B71" s="8" t="s">
        <v>161</v>
      </c>
      <c r="C71" s="10">
        <v>7</v>
      </c>
      <c r="D71" s="10">
        <v>50</v>
      </c>
      <c r="E71" s="10">
        <v>0.4</v>
      </c>
      <c r="F71" s="9">
        <v>18327041</v>
      </c>
      <c r="G71" s="7"/>
    </row>
    <row r="72" spans="1:7" x14ac:dyDescent="0.25">
      <c r="A72" s="8">
        <v>65</v>
      </c>
      <c r="B72" s="8" t="s">
        <v>97</v>
      </c>
      <c r="C72" s="10">
        <v>59</v>
      </c>
      <c r="D72" s="10">
        <v>210</v>
      </c>
      <c r="E72" s="10">
        <v>3</v>
      </c>
      <c r="F72" s="9">
        <v>17880705</v>
      </c>
      <c r="G72" s="7"/>
    </row>
    <row r="73" spans="1:7" x14ac:dyDescent="0.25">
      <c r="A73" s="8">
        <v>66</v>
      </c>
      <c r="B73" s="8" t="s">
        <v>34</v>
      </c>
      <c r="C73" s="9">
        <v>3203</v>
      </c>
      <c r="D73" s="9">
        <v>2121</v>
      </c>
      <c r="E73" s="10">
        <v>182</v>
      </c>
      <c r="F73" s="9">
        <v>17615358</v>
      </c>
      <c r="G73" s="7"/>
    </row>
    <row r="74" spans="1:7" x14ac:dyDescent="0.25">
      <c r="A74" s="8">
        <v>67</v>
      </c>
      <c r="B74" s="8" t="s">
        <v>171</v>
      </c>
      <c r="C74" s="10">
        <v>4</v>
      </c>
      <c r="D74" s="10">
        <v>7</v>
      </c>
      <c r="E74" s="10">
        <v>0.2</v>
      </c>
      <c r="F74" s="9">
        <v>17454561</v>
      </c>
      <c r="G74" s="7"/>
    </row>
    <row r="75" spans="1:7" x14ac:dyDescent="0.25">
      <c r="A75" s="8">
        <v>68</v>
      </c>
      <c r="B75" s="8" t="s">
        <v>27</v>
      </c>
      <c r="C75" s="9">
        <v>5856</v>
      </c>
      <c r="D75" s="9">
        <v>2661</v>
      </c>
      <c r="E75" s="10">
        <v>342</v>
      </c>
      <c r="F75" s="9">
        <v>17131215</v>
      </c>
      <c r="G75" s="7"/>
    </row>
    <row r="76" spans="1:7" x14ac:dyDescent="0.25">
      <c r="A76" s="8">
        <v>69</v>
      </c>
      <c r="B76" s="8" t="s">
        <v>111</v>
      </c>
      <c r="C76" s="10">
        <v>36</v>
      </c>
      <c r="D76" s="10">
        <v>189</v>
      </c>
      <c r="E76" s="10">
        <v>2</v>
      </c>
      <c r="F76" s="9">
        <v>16695568</v>
      </c>
      <c r="G76" s="7"/>
    </row>
    <row r="77" spans="1:7" x14ac:dyDescent="0.25">
      <c r="A77" s="8">
        <v>70</v>
      </c>
      <c r="B77" s="8" t="s">
        <v>209</v>
      </c>
      <c r="C77" s="8"/>
      <c r="D77" s="10">
        <v>7</v>
      </c>
      <c r="E77" s="8"/>
      <c r="F77" s="9">
        <v>16695214</v>
      </c>
      <c r="G77" s="7"/>
    </row>
    <row r="78" spans="1:7" x14ac:dyDescent="0.25">
      <c r="A78" s="8">
        <v>71</v>
      </c>
      <c r="B78" s="8" t="s">
        <v>96</v>
      </c>
      <c r="C78" s="10">
        <v>62</v>
      </c>
      <c r="D78" s="10">
        <v>43</v>
      </c>
      <c r="E78" s="10">
        <v>4</v>
      </c>
      <c r="F78" s="9">
        <v>16373575</v>
      </c>
      <c r="G78" s="7"/>
    </row>
    <row r="79" spans="1:7" x14ac:dyDescent="0.25">
      <c r="A79" s="8">
        <v>72</v>
      </c>
      <c r="B79" s="8" t="s">
        <v>92</v>
      </c>
      <c r="C79" s="10">
        <v>67</v>
      </c>
      <c r="D79" s="10">
        <v>108</v>
      </c>
      <c r="E79" s="10">
        <v>4</v>
      </c>
      <c r="F79" s="9">
        <v>15844234</v>
      </c>
      <c r="G79" s="7"/>
    </row>
    <row r="80" spans="1:7" x14ac:dyDescent="0.25">
      <c r="A80" s="8">
        <v>73</v>
      </c>
      <c r="B80" s="8" t="s">
        <v>175</v>
      </c>
      <c r="C80" s="10">
        <v>4</v>
      </c>
      <c r="D80" s="10">
        <v>4</v>
      </c>
      <c r="E80" s="10">
        <v>0.3</v>
      </c>
      <c r="F80" s="9">
        <v>14840631</v>
      </c>
      <c r="G80" s="7"/>
    </row>
    <row r="81" spans="1:7" x14ac:dyDescent="0.25">
      <c r="A81" s="8">
        <v>74</v>
      </c>
      <c r="B81" s="8" t="s">
        <v>128</v>
      </c>
      <c r="C81" s="10">
        <v>20</v>
      </c>
      <c r="D81" s="10">
        <v>250</v>
      </c>
      <c r="E81" s="10">
        <v>2</v>
      </c>
      <c r="F81" s="9">
        <v>13093597</v>
      </c>
      <c r="G81" s="7"/>
    </row>
    <row r="82" spans="1:7" x14ac:dyDescent="0.25">
      <c r="A82" s="8">
        <v>75</v>
      </c>
      <c r="B82" s="8" t="s">
        <v>203</v>
      </c>
      <c r="C82" s="8"/>
      <c r="D82" s="10">
        <v>26</v>
      </c>
      <c r="E82" s="8"/>
      <c r="F82" s="9">
        <v>12917314</v>
      </c>
      <c r="G82" s="7"/>
    </row>
    <row r="83" spans="1:7" x14ac:dyDescent="0.25">
      <c r="A83" s="8">
        <v>76</v>
      </c>
      <c r="B83" s="8" t="s">
        <v>177</v>
      </c>
      <c r="C83" s="10">
        <v>3</v>
      </c>
      <c r="D83" s="10">
        <v>17</v>
      </c>
      <c r="E83" s="10">
        <v>0.2</v>
      </c>
      <c r="F83" s="9">
        <v>12088427</v>
      </c>
      <c r="G83" s="7"/>
    </row>
    <row r="84" spans="1:7" x14ac:dyDescent="0.25">
      <c r="A84" s="8">
        <v>77</v>
      </c>
      <c r="B84" s="8" t="s">
        <v>194</v>
      </c>
      <c r="C84" s="10">
        <v>1</v>
      </c>
      <c r="D84" s="10">
        <v>4</v>
      </c>
      <c r="E84" s="10">
        <v>0.08</v>
      </c>
      <c r="F84" s="9">
        <v>11851274</v>
      </c>
      <c r="G84" s="7"/>
    </row>
    <row r="85" spans="1:7" x14ac:dyDescent="0.25">
      <c r="A85" s="8">
        <v>78</v>
      </c>
      <c r="B85" s="8" t="s">
        <v>104</v>
      </c>
      <c r="C85" s="10">
        <v>48</v>
      </c>
      <c r="D85" s="10">
        <v>89</v>
      </c>
      <c r="E85" s="10">
        <v>4</v>
      </c>
      <c r="F85" s="9">
        <v>11806151</v>
      </c>
      <c r="G85" s="7"/>
    </row>
    <row r="86" spans="1:7" x14ac:dyDescent="0.25">
      <c r="A86" s="8">
        <v>79</v>
      </c>
      <c r="B86" s="8" t="s">
        <v>65</v>
      </c>
      <c r="C86" s="10">
        <v>261</v>
      </c>
      <c r="D86" s="10">
        <v>571</v>
      </c>
      <c r="E86" s="10">
        <v>22</v>
      </c>
      <c r="F86" s="9">
        <v>11656694</v>
      </c>
      <c r="G86" s="7"/>
    </row>
    <row r="87" spans="1:7" x14ac:dyDescent="0.25">
      <c r="A87" s="8">
        <v>80</v>
      </c>
      <c r="B87" s="8" t="s">
        <v>22</v>
      </c>
      <c r="C87" s="9">
        <v>9334</v>
      </c>
      <c r="D87" s="9">
        <v>4960</v>
      </c>
      <c r="E87" s="10">
        <v>806</v>
      </c>
      <c r="F87" s="9">
        <v>11584702</v>
      </c>
      <c r="G87" s="7"/>
    </row>
    <row r="88" spans="1:7" x14ac:dyDescent="0.25">
      <c r="A88" s="8">
        <v>81</v>
      </c>
      <c r="B88" s="8" t="s">
        <v>116</v>
      </c>
      <c r="C88" s="10">
        <v>31</v>
      </c>
      <c r="D88" s="10">
        <v>93</v>
      </c>
      <c r="E88" s="10">
        <v>3</v>
      </c>
      <c r="F88" s="9">
        <v>11388384</v>
      </c>
      <c r="G88" s="7"/>
    </row>
    <row r="89" spans="1:7" x14ac:dyDescent="0.25">
      <c r="A89" s="8">
        <v>82</v>
      </c>
      <c r="B89" s="8" t="s">
        <v>89</v>
      </c>
      <c r="C89" s="10">
        <v>82</v>
      </c>
      <c r="D89" s="10">
        <v>173</v>
      </c>
      <c r="E89" s="10">
        <v>7</v>
      </c>
      <c r="F89" s="9">
        <v>11327273</v>
      </c>
      <c r="G89" s="7"/>
    </row>
    <row r="90" spans="1:7" x14ac:dyDescent="0.25">
      <c r="A90" s="8">
        <v>83</v>
      </c>
      <c r="B90" s="8" t="s">
        <v>158</v>
      </c>
      <c r="C90" s="10">
        <v>8</v>
      </c>
      <c r="D90" s="10">
        <v>72</v>
      </c>
      <c r="E90" s="10">
        <v>0.7</v>
      </c>
      <c r="F90" s="9">
        <v>11180404</v>
      </c>
      <c r="G90" s="7"/>
    </row>
    <row r="91" spans="1:7" x14ac:dyDescent="0.25">
      <c r="A91" s="8">
        <v>84</v>
      </c>
      <c r="B91" s="8" t="s">
        <v>56</v>
      </c>
      <c r="C91" s="10">
        <v>468</v>
      </c>
      <c r="D91" s="9">
        <v>1409</v>
      </c>
      <c r="E91" s="10">
        <v>43</v>
      </c>
      <c r="F91" s="9">
        <v>10836968</v>
      </c>
      <c r="G91" s="7"/>
    </row>
    <row r="92" spans="1:7" x14ac:dyDescent="0.25">
      <c r="A92" s="8">
        <v>85</v>
      </c>
      <c r="B92" s="8" t="s">
        <v>58</v>
      </c>
      <c r="C92" s="10">
        <v>317</v>
      </c>
      <c r="D92" s="10">
        <v>845</v>
      </c>
      <c r="E92" s="10">
        <v>30</v>
      </c>
      <c r="F92" s="9">
        <v>10707069</v>
      </c>
      <c r="G92" s="7"/>
    </row>
    <row r="93" spans="1:7" ht="47.25" x14ac:dyDescent="0.25">
      <c r="A93" s="8">
        <v>86</v>
      </c>
      <c r="B93" s="8" t="s">
        <v>75</v>
      </c>
      <c r="C93" s="10">
        <v>173</v>
      </c>
      <c r="D93" s="10">
        <v>277</v>
      </c>
      <c r="E93" s="10">
        <v>17</v>
      </c>
      <c r="F93" s="9">
        <v>10427777</v>
      </c>
      <c r="G93" s="7" t="s">
        <v>76</v>
      </c>
    </row>
    <row r="94" spans="1:7" x14ac:dyDescent="0.25">
      <c r="A94" s="8">
        <v>87</v>
      </c>
      <c r="B94" s="8" t="s">
        <v>38</v>
      </c>
      <c r="C94" s="9">
        <v>1342</v>
      </c>
      <c r="D94" s="9">
        <v>3040</v>
      </c>
      <c r="E94" s="10">
        <v>132</v>
      </c>
      <c r="F94" s="9">
        <v>10199497</v>
      </c>
      <c r="G94" s="7"/>
    </row>
    <row r="95" spans="1:7" x14ac:dyDescent="0.25">
      <c r="A95" s="8">
        <v>88</v>
      </c>
      <c r="B95" s="8" t="s">
        <v>154</v>
      </c>
      <c r="C95" s="10">
        <v>9</v>
      </c>
      <c r="D95" s="10">
        <v>70</v>
      </c>
      <c r="E95" s="10">
        <v>0.9</v>
      </c>
      <c r="F95" s="9">
        <v>10192951</v>
      </c>
      <c r="G95" s="7"/>
    </row>
    <row r="96" spans="1:7" x14ac:dyDescent="0.25">
      <c r="A96" s="8">
        <v>89</v>
      </c>
      <c r="B96" s="8" t="s">
        <v>99</v>
      </c>
      <c r="C96" s="10">
        <v>52</v>
      </c>
      <c r="D96" s="10">
        <v>435</v>
      </c>
      <c r="E96" s="10">
        <v>5</v>
      </c>
      <c r="F96" s="9">
        <v>10130034</v>
      </c>
      <c r="G96" s="7"/>
    </row>
    <row r="97" spans="1:7" x14ac:dyDescent="0.25">
      <c r="A97" s="8">
        <v>90</v>
      </c>
      <c r="B97" s="8" t="s">
        <v>31</v>
      </c>
      <c r="C97" s="9">
        <v>4125</v>
      </c>
      <c r="D97" s="9">
        <v>3412</v>
      </c>
      <c r="E97" s="10">
        <v>409</v>
      </c>
      <c r="F97" s="9">
        <v>10093058</v>
      </c>
      <c r="G97" s="7"/>
    </row>
    <row r="98" spans="1:7" x14ac:dyDescent="0.25">
      <c r="A98" s="8">
        <v>91</v>
      </c>
      <c r="B98" s="8" t="s">
        <v>73</v>
      </c>
      <c r="C98" s="10">
        <v>182</v>
      </c>
      <c r="D98" s="10">
        <v>424</v>
      </c>
      <c r="E98" s="10">
        <v>18</v>
      </c>
      <c r="F98" s="9">
        <v>9888260</v>
      </c>
      <c r="G98" s="7"/>
    </row>
    <row r="99" spans="1:7" x14ac:dyDescent="0.25">
      <c r="A99" s="8">
        <v>92</v>
      </c>
      <c r="B99" s="8" t="s">
        <v>66</v>
      </c>
      <c r="C99" s="10">
        <v>253</v>
      </c>
      <c r="D99" s="9">
        <v>3147</v>
      </c>
      <c r="E99" s="10">
        <v>26</v>
      </c>
      <c r="F99" s="9">
        <v>9878250</v>
      </c>
      <c r="G99" s="7"/>
    </row>
    <row r="100" spans="1:7" x14ac:dyDescent="0.25">
      <c r="A100" s="8">
        <v>93</v>
      </c>
      <c r="B100" s="8" t="s">
        <v>54</v>
      </c>
      <c r="C100" s="10">
        <v>499</v>
      </c>
      <c r="D100" s="10">
        <v>390</v>
      </c>
      <c r="E100" s="10">
        <v>52</v>
      </c>
      <c r="F100" s="9">
        <v>9662656</v>
      </c>
      <c r="G100" s="7"/>
    </row>
    <row r="101" spans="1:7" x14ac:dyDescent="0.25">
      <c r="A101" s="8">
        <v>94</v>
      </c>
      <c r="B101" s="8" t="s">
        <v>105</v>
      </c>
      <c r="C101" s="10">
        <v>47</v>
      </c>
      <c r="D101" s="10">
        <v>343</v>
      </c>
      <c r="E101" s="10">
        <v>5</v>
      </c>
      <c r="F101" s="9">
        <v>9514637</v>
      </c>
      <c r="G101" s="7"/>
    </row>
    <row r="102" spans="1:7" x14ac:dyDescent="0.25">
      <c r="A102" s="8">
        <v>95</v>
      </c>
      <c r="B102" s="8" t="s">
        <v>71</v>
      </c>
      <c r="C102" s="10">
        <v>208</v>
      </c>
      <c r="D102" s="9">
        <v>4028</v>
      </c>
      <c r="E102" s="10">
        <v>22</v>
      </c>
      <c r="F102" s="9">
        <v>9449619</v>
      </c>
      <c r="G102" s="7"/>
    </row>
    <row r="103" spans="1:7" x14ac:dyDescent="0.25">
      <c r="A103" s="8">
        <v>96</v>
      </c>
      <c r="B103" s="8" t="s">
        <v>61</v>
      </c>
      <c r="C103" s="10">
        <v>281</v>
      </c>
      <c r="D103" s="9">
        <v>1822</v>
      </c>
      <c r="E103" s="10">
        <v>31</v>
      </c>
      <c r="F103" s="9">
        <v>9197590</v>
      </c>
      <c r="G103" s="7"/>
    </row>
    <row r="104" spans="1:7" x14ac:dyDescent="0.25">
      <c r="A104" s="8">
        <v>97</v>
      </c>
      <c r="B104" s="8" t="s">
        <v>49</v>
      </c>
      <c r="C104" s="10">
        <v>643</v>
      </c>
      <c r="D104" s="9">
        <v>1839</v>
      </c>
      <c r="E104" s="10">
        <v>71</v>
      </c>
      <c r="F104" s="9">
        <v>9001347</v>
      </c>
      <c r="G104" s="7"/>
    </row>
    <row r="105" spans="1:7" x14ac:dyDescent="0.25">
      <c r="A105" s="8">
        <v>98</v>
      </c>
      <c r="B105" s="8" t="s">
        <v>228</v>
      </c>
      <c r="C105" s="8"/>
      <c r="D105" s="10">
        <v>0.9</v>
      </c>
      <c r="E105" s="8"/>
      <c r="F105" s="9">
        <v>8929153</v>
      </c>
      <c r="G105" s="7"/>
    </row>
    <row r="106" spans="1:7" x14ac:dyDescent="0.25">
      <c r="A106" s="8">
        <v>99</v>
      </c>
      <c r="B106" s="8" t="s">
        <v>68</v>
      </c>
      <c r="C106" s="10">
        <v>239</v>
      </c>
      <c r="D106" s="9">
        <v>1284</v>
      </c>
      <c r="E106" s="10">
        <v>27</v>
      </c>
      <c r="F106" s="9">
        <v>8740651</v>
      </c>
      <c r="G106" s="7"/>
    </row>
    <row r="107" spans="1:7" x14ac:dyDescent="0.25">
      <c r="A107" s="8">
        <v>100</v>
      </c>
      <c r="B107" s="8" t="s">
        <v>35</v>
      </c>
      <c r="C107" s="9">
        <v>1915</v>
      </c>
      <c r="D107" s="9">
        <v>3557</v>
      </c>
      <c r="E107" s="10">
        <v>221</v>
      </c>
      <c r="F107" s="9">
        <v>8648347</v>
      </c>
      <c r="G107" s="7"/>
    </row>
    <row r="108" spans="1:7" x14ac:dyDescent="0.25">
      <c r="A108" s="8">
        <v>101</v>
      </c>
      <c r="B108" s="8" t="s">
        <v>141</v>
      </c>
      <c r="C108" s="10">
        <v>13</v>
      </c>
      <c r="D108" s="10">
        <v>47</v>
      </c>
      <c r="E108" s="10">
        <v>2</v>
      </c>
      <c r="F108" s="9">
        <v>8257779</v>
      </c>
      <c r="G108" s="7"/>
    </row>
    <row r="109" spans="1:7" x14ac:dyDescent="0.25">
      <c r="A109" s="8">
        <v>102</v>
      </c>
      <c r="B109" s="8" t="s">
        <v>107</v>
      </c>
      <c r="C109" s="10">
        <v>44</v>
      </c>
      <c r="D109" s="10">
        <v>95</v>
      </c>
      <c r="E109" s="10">
        <v>6</v>
      </c>
      <c r="F109" s="9">
        <v>7959753</v>
      </c>
      <c r="G109" s="7"/>
    </row>
    <row r="110" spans="1:7" x14ac:dyDescent="0.25">
      <c r="A110" s="8">
        <v>103</v>
      </c>
      <c r="B110" s="8" t="s">
        <v>168</v>
      </c>
      <c r="C110" s="10">
        <v>4</v>
      </c>
      <c r="D110" s="10">
        <v>142</v>
      </c>
      <c r="E110" s="10">
        <v>0.5</v>
      </c>
      <c r="F110" s="9">
        <v>7490925</v>
      </c>
      <c r="G110" s="7"/>
    </row>
    <row r="111" spans="1:7" x14ac:dyDescent="0.25">
      <c r="A111" s="8">
        <v>104</v>
      </c>
      <c r="B111" s="8" t="s">
        <v>217</v>
      </c>
      <c r="C111" s="8"/>
      <c r="D111" s="10">
        <v>3</v>
      </c>
      <c r="E111" s="8"/>
      <c r="F111" s="9">
        <v>7264685</v>
      </c>
      <c r="G111" s="7"/>
    </row>
    <row r="112" spans="1:7" x14ac:dyDescent="0.25">
      <c r="A112" s="8">
        <v>105</v>
      </c>
      <c r="B112" s="8" t="s">
        <v>147</v>
      </c>
      <c r="C112" s="10">
        <v>11</v>
      </c>
      <c r="D112" s="10">
        <v>123</v>
      </c>
      <c r="E112" s="10">
        <v>2</v>
      </c>
      <c r="F112" s="9">
        <v>7123619</v>
      </c>
      <c r="G112" s="7"/>
    </row>
    <row r="113" spans="1:7" x14ac:dyDescent="0.25">
      <c r="A113" s="8">
        <v>106</v>
      </c>
      <c r="B113" s="8" t="s">
        <v>81</v>
      </c>
      <c r="C113" s="10">
        <v>130</v>
      </c>
      <c r="D113" s="10">
        <v>351</v>
      </c>
      <c r="E113" s="10">
        <v>19</v>
      </c>
      <c r="F113" s="9">
        <v>6953227</v>
      </c>
      <c r="G113" s="7"/>
    </row>
    <row r="114" spans="1:7" x14ac:dyDescent="0.25">
      <c r="A114" s="8">
        <v>107</v>
      </c>
      <c r="B114" s="8" t="s">
        <v>179</v>
      </c>
      <c r="C114" s="10">
        <v>3</v>
      </c>
      <c r="D114" s="10">
        <v>11</v>
      </c>
      <c r="E114" s="10">
        <v>0.4</v>
      </c>
      <c r="F114" s="9">
        <v>6861713</v>
      </c>
      <c r="G114" s="7"/>
    </row>
    <row r="115" spans="1:7" x14ac:dyDescent="0.25">
      <c r="A115" s="8">
        <v>108</v>
      </c>
      <c r="B115" s="8" t="s">
        <v>120</v>
      </c>
      <c r="C115" s="10">
        <v>26</v>
      </c>
      <c r="D115" s="10">
        <v>167</v>
      </c>
      <c r="E115" s="10">
        <v>4</v>
      </c>
      <c r="F115" s="9">
        <v>6828287</v>
      </c>
      <c r="G115" s="7"/>
    </row>
    <row r="116" spans="1:7" x14ac:dyDescent="0.25">
      <c r="A116" s="8">
        <v>109</v>
      </c>
      <c r="B116" s="8" t="s">
        <v>113</v>
      </c>
      <c r="C116" s="10">
        <v>35</v>
      </c>
      <c r="D116" s="10">
        <v>115</v>
      </c>
      <c r="E116" s="10">
        <v>5</v>
      </c>
      <c r="F116" s="9">
        <v>6616547</v>
      </c>
      <c r="G116" s="7"/>
    </row>
    <row r="117" spans="1:7" x14ac:dyDescent="0.25">
      <c r="A117" s="8">
        <v>110</v>
      </c>
      <c r="B117" s="8" t="s">
        <v>131</v>
      </c>
      <c r="C117" s="10">
        <v>16</v>
      </c>
      <c r="D117" s="10">
        <v>225</v>
      </c>
      <c r="E117" s="10">
        <v>2</v>
      </c>
      <c r="F117" s="9">
        <v>6512990</v>
      </c>
      <c r="G117" s="7"/>
    </row>
    <row r="118" spans="1:7" x14ac:dyDescent="0.25">
      <c r="A118" s="8">
        <v>111</v>
      </c>
      <c r="B118" s="8" t="s">
        <v>112</v>
      </c>
      <c r="C118" s="10">
        <v>36</v>
      </c>
      <c r="D118" s="10">
        <v>315</v>
      </c>
      <c r="E118" s="10">
        <v>6</v>
      </c>
      <c r="F118" s="9">
        <v>6483000</v>
      </c>
      <c r="G118" s="7"/>
    </row>
    <row r="119" spans="1:7" x14ac:dyDescent="0.25">
      <c r="A119" s="8">
        <v>112</v>
      </c>
      <c r="B119" s="8" t="s">
        <v>123</v>
      </c>
      <c r="C119" s="10">
        <v>23</v>
      </c>
      <c r="D119" s="9">
        <v>5533</v>
      </c>
      <c r="E119" s="10">
        <v>4</v>
      </c>
      <c r="F119" s="9">
        <v>5845767</v>
      </c>
      <c r="G119" s="7"/>
    </row>
    <row r="120" spans="1:7" x14ac:dyDescent="0.25">
      <c r="A120" s="8">
        <v>113</v>
      </c>
      <c r="B120" s="8" t="s">
        <v>51</v>
      </c>
      <c r="C120" s="10">
        <v>563</v>
      </c>
      <c r="D120" s="9">
        <v>1974</v>
      </c>
      <c r="E120" s="10">
        <v>97</v>
      </c>
      <c r="F120" s="9">
        <v>5790221</v>
      </c>
      <c r="G120" s="7"/>
    </row>
    <row r="121" spans="1:7" x14ac:dyDescent="0.25">
      <c r="A121" s="8">
        <v>114</v>
      </c>
      <c r="B121" s="8" t="s">
        <v>60</v>
      </c>
      <c r="C121" s="10">
        <v>312</v>
      </c>
      <c r="D121" s="9">
        <v>1196</v>
      </c>
      <c r="E121" s="10">
        <v>56</v>
      </c>
      <c r="F121" s="9">
        <v>5539893</v>
      </c>
      <c r="G121" s="7"/>
    </row>
    <row r="122" spans="1:7" x14ac:dyDescent="0.25">
      <c r="A122" s="8">
        <v>115</v>
      </c>
      <c r="B122" s="8" t="s">
        <v>132</v>
      </c>
      <c r="C122" s="10">
        <v>16</v>
      </c>
      <c r="D122" s="10">
        <v>88</v>
      </c>
      <c r="E122" s="10">
        <v>3</v>
      </c>
      <c r="F122" s="9">
        <v>5503335</v>
      </c>
      <c r="G122" s="7"/>
    </row>
    <row r="123" spans="1:7" x14ac:dyDescent="0.25">
      <c r="A123" s="8">
        <v>116</v>
      </c>
      <c r="B123" s="8" t="s">
        <v>119</v>
      </c>
      <c r="C123" s="10">
        <v>28</v>
      </c>
      <c r="D123" s="10">
        <v>277</v>
      </c>
      <c r="E123" s="10">
        <v>5</v>
      </c>
      <c r="F123" s="9">
        <v>5459389</v>
      </c>
      <c r="G123" s="7"/>
    </row>
    <row r="124" spans="1:7" x14ac:dyDescent="0.25">
      <c r="A124" s="8">
        <v>117</v>
      </c>
      <c r="B124" s="8" t="s">
        <v>69</v>
      </c>
      <c r="C124" s="10">
        <v>235</v>
      </c>
      <c r="D124" s="9">
        <v>1548</v>
      </c>
      <c r="E124" s="10">
        <v>43</v>
      </c>
      <c r="F124" s="9">
        <v>5417027</v>
      </c>
      <c r="G124" s="7"/>
    </row>
    <row r="125" spans="1:7" x14ac:dyDescent="0.25">
      <c r="A125" s="8">
        <v>118</v>
      </c>
      <c r="B125" s="8" t="s">
        <v>110</v>
      </c>
      <c r="C125" s="10">
        <v>37</v>
      </c>
      <c r="D125" s="9">
        <v>1594</v>
      </c>
      <c r="E125" s="10">
        <v>7</v>
      </c>
      <c r="F125" s="9">
        <v>5092460</v>
      </c>
      <c r="G125" s="7"/>
    </row>
    <row r="126" spans="1:7" x14ac:dyDescent="0.25">
      <c r="A126" s="8">
        <v>119</v>
      </c>
      <c r="B126" s="8" t="s">
        <v>152</v>
      </c>
      <c r="C126" s="10">
        <v>10</v>
      </c>
      <c r="D126" s="10">
        <v>188</v>
      </c>
      <c r="E126" s="10">
        <v>2</v>
      </c>
      <c r="F126" s="9">
        <v>5089461</v>
      </c>
      <c r="G126" s="7"/>
    </row>
    <row r="127" spans="1:7" x14ac:dyDescent="0.25">
      <c r="A127" s="8">
        <v>120</v>
      </c>
      <c r="B127" s="8" t="s">
        <v>176</v>
      </c>
      <c r="C127" s="10">
        <v>3</v>
      </c>
      <c r="D127" s="10">
        <v>84</v>
      </c>
      <c r="E127" s="10">
        <v>0.6</v>
      </c>
      <c r="F127" s="9">
        <v>5088625</v>
      </c>
      <c r="G127" s="7"/>
    </row>
    <row r="128" spans="1:7" x14ac:dyDescent="0.25">
      <c r="A128" s="8">
        <v>121</v>
      </c>
      <c r="B128" s="8" t="s">
        <v>121</v>
      </c>
      <c r="C128" s="10">
        <v>26</v>
      </c>
      <c r="D128" s="10">
        <v>53</v>
      </c>
      <c r="E128" s="10">
        <v>5</v>
      </c>
      <c r="F128" s="9">
        <v>5044844</v>
      </c>
      <c r="G128" s="7"/>
    </row>
    <row r="129" spans="1:7" x14ac:dyDescent="0.25">
      <c r="A129" s="8">
        <v>122</v>
      </c>
      <c r="B129" s="8" t="s">
        <v>36</v>
      </c>
      <c r="C129" s="9">
        <v>1615</v>
      </c>
      <c r="D129" s="9">
        <v>5015</v>
      </c>
      <c r="E129" s="10">
        <v>327</v>
      </c>
      <c r="F129" s="9">
        <v>4932204</v>
      </c>
      <c r="G129" s="7"/>
    </row>
    <row r="130" spans="1:7" x14ac:dyDescent="0.25">
      <c r="A130" s="8">
        <v>123</v>
      </c>
      <c r="B130" s="8" t="s">
        <v>186</v>
      </c>
      <c r="C130" s="10">
        <v>1</v>
      </c>
      <c r="D130" s="10">
        <v>139</v>
      </c>
      <c r="E130" s="10">
        <v>0.2</v>
      </c>
      <c r="F130" s="9">
        <v>4820985</v>
      </c>
      <c r="G130" s="7"/>
    </row>
    <row r="131" spans="1:7" x14ac:dyDescent="0.25">
      <c r="A131" s="8">
        <v>124</v>
      </c>
      <c r="B131" s="8" t="s">
        <v>126</v>
      </c>
      <c r="C131" s="10">
        <v>21</v>
      </c>
      <c r="D131" s="10">
        <v>312</v>
      </c>
      <c r="E131" s="10">
        <v>4</v>
      </c>
      <c r="F131" s="9">
        <v>4818333</v>
      </c>
      <c r="G131" s="7"/>
    </row>
    <row r="132" spans="1:7" x14ac:dyDescent="0.25">
      <c r="A132" s="8">
        <v>125</v>
      </c>
      <c r="B132" s="8" t="s">
        <v>142</v>
      </c>
      <c r="C132" s="10">
        <v>13</v>
      </c>
      <c r="D132" s="10">
        <v>58</v>
      </c>
      <c r="E132" s="10">
        <v>3</v>
      </c>
      <c r="F132" s="9">
        <v>4636268</v>
      </c>
      <c r="G132" s="7"/>
    </row>
    <row r="133" spans="1:7" x14ac:dyDescent="0.25">
      <c r="A133" s="8">
        <v>126</v>
      </c>
      <c r="B133" s="8" t="s">
        <v>59</v>
      </c>
      <c r="C133" s="10">
        <v>313</v>
      </c>
      <c r="D133" s="9">
        <v>2657</v>
      </c>
      <c r="E133" s="10">
        <v>73</v>
      </c>
      <c r="F133" s="9">
        <v>4307725</v>
      </c>
      <c r="G133" s="7"/>
    </row>
    <row r="134" spans="1:7" x14ac:dyDescent="0.25">
      <c r="A134" s="8">
        <v>127</v>
      </c>
      <c r="B134" s="8" t="s">
        <v>77</v>
      </c>
      <c r="C134" s="10">
        <v>172</v>
      </c>
      <c r="D134" s="9">
        <v>5294</v>
      </c>
      <c r="E134" s="10">
        <v>40</v>
      </c>
      <c r="F134" s="9">
        <v>4264055</v>
      </c>
      <c r="G134" s="7"/>
    </row>
    <row r="135" spans="1:7" x14ac:dyDescent="0.25">
      <c r="A135" s="8">
        <v>128</v>
      </c>
      <c r="B135" s="8" t="s">
        <v>87</v>
      </c>
      <c r="C135" s="10">
        <v>101</v>
      </c>
      <c r="D135" s="10">
        <v>546</v>
      </c>
      <c r="E135" s="10">
        <v>25</v>
      </c>
      <c r="F135" s="9">
        <v>4107599</v>
      </c>
      <c r="G135" s="7"/>
    </row>
    <row r="136" spans="1:7" x14ac:dyDescent="0.25">
      <c r="A136" s="8">
        <v>129</v>
      </c>
      <c r="B136" s="8" t="s">
        <v>64</v>
      </c>
      <c r="C136" s="10">
        <v>267</v>
      </c>
      <c r="D136" s="9">
        <v>1810</v>
      </c>
      <c r="E136" s="10">
        <v>66</v>
      </c>
      <c r="F136" s="9">
        <v>4034845</v>
      </c>
      <c r="G136" s="7"/>
    </row>
    <row r="137" spans="1:7" x14ac:dyDescent="0.25">
      <c r="A137" s="8">
        <v>130</v>
      </c>
      <c r="B137" s="8" t="s">
        <v>144</v>
      </c>
      <c r="C137" s="10">
        <v>12</v>
      </c>
      <c r="D137" s="10">
        <v>183</v>
      </c>
      <c r="E137" s="10">
        <v>3</v>
      </c>
      <c r="F137" s="9">
        <v>3989889</v>
      </c>
      <c r="G137" s="7"/>
    </row>
    <row r="138" spans="1:7" x14ac:dyDescent="0.25">
      <c r="A138" s="8">
        <v>131</v>
      </c>
      <c r="B138" s="8" t="s">
        <v>212</v>
      </c>
      <c r="C138" s="8"/>
      <c r="D138" s="10">
        <v>11</v>
      </c>
      <c r="E138" s="8"/>
      <c r="F138" s="9">
        <v>3541383</v>
      </c>
      <c r="G138" s="7"/>
    </row>
    <row r="139" spans="1:7" x14ac:dyDescent="0.25">
      <c r="A139" s="8">
        <v>132</v>
      </c>
      <c r="B139" s="8" t="s">
        <v>125</v>
      </c>
      <c r="C139" s="10">
        <v>22</v>
      </c>
      <c r="D139" s="10">
        <v>227</v>
      </c>
      <c r="E139" s="10">
        <v>6</v>
      </c>
      <c r="F139" s="9">
        <v>3472561</v>
      </c>
      <c r="G139" s="7"/>
    </row>
    <row r="140" spans="1:7" x14ac:dyDescent="0.25">
      <c r="A140" s="8">
        <v>133</v>
      </c>
      <c r="B140" s="8" t="s">
        <v>80</v>
      </c>
      <c r="C140" s="10">
        <v>149</v>
      </c>
      <c r="D140" s="10">
        <v>736</v>
      </c>
      <c r="E140" s="10">
        <v>45</v>
      </c>
      <c r="F140" s="9">
        <v>3282698</v>
      </c>
      <c r="G140" s="7"/>
    </row>
    <row r="141" spans="1:7" x14ac:dyDescent="0.25">
      <c r="A141" s="8">
        <v>134</v>
      </c>
      <c r="B141" s="8" t="s">
        <v>208</v>
      </c>
      <c r="C141" s="8"/>
      <c r="D141" s="10">
        <v>43</v>
      </c>
      <c r="E141" s="8"/>
      <c r="F141" s="9">
        <v>3272806</v>
      </c>
      <c r="G141" s="7"/>
    </row>
    <row r="142" spans="1:7" x14ac:dyDescent="0.25">
      <c r="A142" s="8">
        <v>135</v>
      </c>
      <c r="B142" s="8" t="s">
        <v>88</v>
      </c>
      <c r="C142" s="10">
        <v>91</v>
      </c>
      <c r="D142" s="9">
        <v>2498</v>
      </c>
      <c r="E142" s="10">
        <v>31</v>
      </c>
      <c r="F142" s="9">
        <v>2962710</v>
      </c>
      <c r="G142" s="7"/>
    </row>
    <row r="143" spans="1:7" x14ac:dyDescent="0.25">
      <c r="A143" s="8">
        <v>136</v>
      </c>
      <c r="B143" s="8" t="s">
        <v>155</v>
      </c>
      <c r="C143" s="10">
        <v>9</v>
      </c>
      <c r="D143" s="10">
        <v>188</v>
      </c>
      <c r="E143" s="10">
        <v>3</v>
      </c>
      <c r="F143" s="9">
        <v>2959906</v>
      </c>
      <c r="G143" s="7"/>
    </row>
    <row r="144" spans="1:7" x14ac:dyDescent="0.25">
      <c r="A144" s="8">
        <v>137</v>
      </c>
      <c r="B144" s="8" t="s">
        <v>115</v>
      </c>
      <c r="C144" s="10">
        <v>33</v>
      </c>
      <c r="D144" s="10">
        <v>358</v>
      </c>
      <c r="E144" s="10">
        <v>11</v>
      </c>
      <c r="F144" s="9">
        <v>2878095</v>
      </c>
      <c r="G144" s="7"/>
    </row>
    <row r="145" spans="1:7" x14ac:dyDescent="0.25">
      <c r="A145" s="8">
        <v>138</v>
      </c>
      <c r="B145" s="8" t="s">
        <v>118</v>
      </c>
      <c r="C145" s="10">
        <v>28</v>
      </c>
      <c r="D145" s="9">
        <v>16414</v>
      </c>
      <c r="E145" s="10">
        <v>10</v>
      </c>
      <c r="F145" s="9">
        <v>2875978</v>
      </c>
      <c r="G145" s="7"/>
    </row>
    <row r="146" spans="1:7" x14ac:dyDescent="0.25">
      <c r="A146" s="8">
        <v>139</v>
      </c>
      <c r="B146" s="8" t="s">
        <v>94</v>
      </c>
      <c r="C146" s="10">
        <v>65</v>
      </c>
      <c r="D146" s="10">
        <v>601</v>
      </c>
      <c r="E146" s="10">
        <v>24</v>
      </c>
      <c r="F146" s="9">
        <v>2725640</v>
      </c>
      <c r="G146" s="7"/>
    </row>
    <row r="147" spans="1:7" x14ac:dyDescent="0.25">
      <c r="A147" s="8">
        <v>140</v>
      </c>
      <c r="B147" s="8" t="s">
        <v>216</v>
      </c>
      <c r="C147" s="8"/>
      <c r="D147" s="10">
        <v>8</v>
      </c>
      <c r="E147" s="8"/>
      <c r="F147" s="9">
        <v>2536074</v>
      </c>
      <c r="G147" s="7"/>
    </row>
    <row r="148" spans="1:7" x14ac:dyDescent="0.25">
      <c r="A148" s="8">
        <v>141</v>
      </c>
      <c r="B148" s="8" t="s">
        <v>196</v>
      </c>
      <c r="C148" s="10">
        <v>1</v>
      </c>
      <c r="D148" s="10">
        <v>10</v>
      </c>
      <c r="E148" s="10">
        <v>0.4</v>
      </c>
      <c r="F148" s="9">
        <v>2409159</v>
      </c>
      <c r="G148" s="7"/>
    </row>
    <row r="149" spans="1:7" x14ac:dyDescent="0.25">
      <c r="A149" s="8">
        <v>142</v>
      </c>
      <c r="B149" s="8" t="s">
        <v>195</v>
      </c>
      <c r="C149" s="10">
        <v>1</v>
      </c>
      <c r="D149" s="10">
        <v>15</v>
      </c>
      <c r="E149" s="10">
        <v>0.4</v>
      </c>
      <c r="F149" s="9">
        <v>2346588</v>
      </c>
      <c r="G149" s="7"/>
    </row>
    <row r="150" spans="1:7" x14ac:dyDescent="0.25">
      <c r="A150" s="8">
        <v>143</v>
      </c>
      <c r="B150" s="8" t="s">
        <v>137</v>
      </c>
      <c r="C150" s="10">
        <v>14</v>
      </c>
      <c r="D150" s="9">
        <v>1008</v>
      </c>
      <c r="E150" s="10">
        <v>6</v>
      </c>
      <c r="F150" s="9">
        <v>2220060</v>
      </c>
      <c r="G150" s="7"/>
    </row>
    <row r="151" spans="1:7" x14ac:dyDescent="0.25">
      <c r="A151" s="8">
        <v>144</v>
      </c>
      <c r="B151" s="8" t="s">
        <v>232</v>
      </c>
      <c r="C151" s="8"/>
      <c r="D151" s="10">
        <v>0.9</v>
      </c>
      <c r="E151" s="8"/>
      <c r="F151" s="9">
        <v>2140560</v>
      </c>
      <c r="G151" s="7"/>
    </row>
    <row r="152" spans="1:7" x14ac:dyDescent="0.25">
      <c r="A152" s="8">
        <v>145</v>
      </c>
      <c r="B152" s="8" t="s">
        <v>82</v>
      </c>
      <c r="C152" s="10">
        <v>116</v>
      </c>
      <c r="D152" s="10">
        <v>967</v>
      </c>
      <c r="E152" s="10">
        <v>56</v>
      </c>
      <c r="F152" s="9">
        <v>2083382</v>
      </c>
      <c r="G152" s="7"/>
    </row>
    <row r="153" spans="1:7" x14ac:dyDescent="0.25">
      <c r="A153" s="8">
        <v>146</v>
      </c>
      <c r="B153" s="8" t="s">
        <v>85</v>
      </c>
      <c r="C153" s="10">
        <v>108</v>
      </c>
      <c r="D153" s="10">
        <v>707</v>
      </c>
      <c r="E153" s="10">
        <v>52</v>
      </c>
      <c r="F153" s="9">
        <v>2078911</v>
      </c>
      <c r="G153" s="7"/>
    </row>
    <row r="154" spans="1:7" x14ac:dyDescent="0.25">
      <c r="A154" s="8">
        <v>147</v>
      </c>
      <c r="B154" s="8" t="s">
        <v>160</v>
      </c>
      <c r="C154" s="10">
        <v>7</v>
      </c>
      <c r="D154" s="10">
        <v>600</v>
      </c>
      <c r="E154" s="10">
        <v>4</v>
      </c>
      <c r="F154" s="9">
        <v>1962975</v>
      </c>
      <c r="G154" s="7"/>
    </row>
    <row r="155" spans="1:7" x14ac:dyDescent="0.25">
      <c r="A155" s="8">
        <v>148</v>
      </c>
      <c r="B155" s="8" t="s">
        <v>124</v>
      </c>
      <c r="C155" s="10">
        <v>22</v>
      </c>
      <c r="D155" s="10">
        <v>558</v>
      </c>
      <c r="E155" s="10">
        <v>12</v>
      </c>
      <c r="F155" s="9">
        <v>1888068</v>
      </c>
      <c r="G155" s="7"/>
    </row>
    <row r="156" spans="1:7" x14ac:dyDescent="0.25">
      <c r="A156" s="8">
        <v>149</v>
      </c>
      <c r="B156" s="8" t="s">
        <v>134</v>
      </c>
      <c r="C156" s="10">
        <v>14</v>
      </c>
      <c r="D156" s="9">
        <v>5526</v>
      </c>
      <c r="E156" s="10">
        <v>8</v>
      </c>
      <c r="F156" s="9">
        <v>1694805</v>
      </c>
      <c r="G156" s="7"/>
    </row>
    <row r="157" spans="1:7" x14ac:dyDescent="0.25">
      <c r="A157" s="8">
        <v>150</v>
      </c>
      <c r="B157" s="8" t="s">
        <v>159</v>
      </c>
      <c r="C157" s="10">
        <v>8</v>
      </c>
      <c r="D157" s="10">
        <v>83</v>
      </c>
      <c r="E157" s="10">
        <v>6</v>
      </c>
      <c r="F157" s="9">
        <v>1399048</v>
      </c>
      <c r="G157" s="7"/>
    </row>
    <row r="158" spans="1:7" x14ac:dyDescent="0.25">
      <c r="A158" s="8">
        <v>151</v>
      </c>
      <c r="B158" s="8" t="s">
        <v>143</v>
      </c>
      <c r="C158" s="10">
        <v>12</v>
      </c>
      <c r="D158" s="10">
        <v>746</v>
      </c>
      <c r="E158" s="10">
        <v>9</v>
      </c>
      <c r="F158" s="9">
        <v>1397760</v>
      </c>
      <c r="G158" s="7"/>
    </row>
    <row r="159" spans="1:7" x14ac:dyDescent="0.25">
      <c r="A159" s="8">
        <v>152</v>
      </c>
      <c r="B159" s="8" t="s">
        <v>93</v>
      </c>
      <c r="C159" s="10">
        <v>65</v>
      </c>
      <c r="D159" s="9">
        <v>1383</v>
      </c>
      <c r="E159" s="10">
        <v>49</v>
      </c>
      <c r="F159" s="9">
        <v>1326450</v>
      </c>
      <c r="G159" s="7"/>
    </row>
    <row r="160" spans="1:7" x14ac:dyDescent="0.25">
      <c r="A160" s="8">
        <v>153</v>
      </c>
      <c r="B160" s="8" t="s">
        <v>214</v>
      </c>
      <c r="C160" s="8"/>
      <c r="D160" s="10">
        <v>18</v>
      </c>
      <c r="E160" s="8"/>
      <c r="F160" s="9">
        <v>1315796</v>
      </c>
      <c r="G160" s="7"/>
    </row>
    <row r="161" spans="1:7" x14ac:dyDescent="0.25">
      <c r="A161" s="8">
        <v>154</v>
      </c>
      <c r="B161" s="8" t="s">
        <v>153</v>
      </c>
      <c r="C161" s="10">
        <v>10</v>
      </c>
      <c r="D161" s="10">
        <v>263</v>
      </c>
      <c r="E161" s="10">
        <v>8</v>
      </c>
      <c r="F161" s="9">
        <v>1271565</v>
      </c>
      <c r="G161" s="7"/>
    </row>
    <row r="162" spans="1:7" x14ac:dyDescent="0.25">
      <c r="A162" s="8">
        <v>155</v>
      </c>
      <c r="B162" s="8" t="s">
        <v>130</v>
      </c>
      <c r="C162" s="10">
        <v>17</v>
      </c>
      <c r="D162" s="10">
        <v>778</v>
      </c>
      <c r="E162" s="10">
        <v>14</v>
      </c>
      <c r="F162" s="9">
        <v>1206488</v>
      </c>
      <c r="G162" s="7"/>
    </row>
    <row r="163" spans="1:7" x14ac:dyDescent="0.25">
      <c r="A163" s="8">
        <v>156</v>
      </c>
      <c r="B163" s="8" t="s">
        <v>183</v>
      </c>
      <c r="C163" s="10">
        <v>2</v>
      </c>
      <c r="D163" s="10">
        <v>225</v>
      </c>
      <c r="E163" s="10">
        <v>2</v>
      </c>
      <c r="F163" s="9">
        <v>1158954</v>
      </c>
      <c r="G163" s="7"/>
    </row>
    <row r="164" spans="1:7" x14ac:dyDescent="0.25">
      <c r="A164" s="8">
        <v>157</v>
      </c>
      <c r="B164" s="8" t="s">
        <v>136</v>
      </c>
      <c r="C164" s="10">
        <v>14</v>
      </c>
      <c r="D164" s="9">
        <v>2502</v>
      </c>
      <c r="E164" s="10">
        <v>14</v>
      </c>
      <c r="F164" s="9">
        <v>986520</v>
      </c>
      <c r="G164" s="7"/>
    </row>
    <row r="165" spans="1:7" x14ac:dyDescent="0.25">
      <c r="A165" s="8">
        <v>158</v>
      </c>
      <c r="B165" s="8" t="s">
        <v>218</v>
      </c>
      <c r="C165" s="8"/>
      <c r="D165" s="10">
        <v>20</v>
      </c>
      <c r="E165" s="8"/>
      <c r="F165" s="9">
        <v>895801</v>
      </c>
      <c r="G165" s="7"/>
    </row>
    <row r="166" spans="1:7" x14ac:dyDescent="0.25">
      <c r="A166" s="8">
        <v>159</v>
      </c>
      <c r="B166" s="8" t="s">
        <v>187</v>
      </c>
      <c r="C166" s="10">
        <v>1</v>
      </c>
      <c r="D166" s="10">
        <v>513</v>
      </c>
      <c r="E166" s="10">
        <v>1</v>
      </c>
      <c r="F166" s="9">
        <v>894679</v>
      </c>
      <c r="G166" s="7"/>
    </row>
    <row r="167" spans="1:7" x14ac:dyDescent="0.25">
      <c r="A167" s="8">
        <v>160</v>
      </c>
      <c r="B167" s="8" t="s">
        <v>192</v>
      </c>
      <c r="C167" s="10">
        <v>1</v>
      </c>
      <c r="D167" s="10">
        <v>100</v>
      </c>
      <c r="E167" s="10">
        <v>1</v>
      </c>
      <c r="F167" s="9">
        <v>867624</v>
      </c>
      <c r="G167" s="7"/>
    </row>
    <row r="168" spans="1:7" x14ac:dyDescent="0.25">
      <c r="A168" s="8">
        <v>161</v>
      </c>
      <c r="B168" s="8" t="s">
        <v>148</v>
      </c>
      <c r="C168" s="10">
        <v>11</v>
      </c>
      <c r="D168" s="10">
        <v>177</v>
      </c>
      <c r="E168" s="10">
        <v>14</v>
      </c>
      <c r="F168" s="9">
        <v>786181</v>
      </c>
      <c r="G168" s="7"/>
    </row>
    <row r="169" spans="1:7" x14ac:dyDescent="0.25">
      <c r="A169" s="8">
        <v>162</v>
      </c>
      <c r="B169" s="8" t="s">
        <v>213</v>
      </c>
      <c r="C169" s="8"/>
      <c r="D169" s="10">
        <v>35</v>
      </c>
      <c r="E169" s="8"/>
      <c r="F169" s="9">
        <v>770749</v>
      </c>
      <c r="G169" s="7"/>
    </row>
    <row r="170" spans="1:7" x14ac:dyDescent="0.25">
      <c r="A170" s="8">
        <v>163</v>
      </c>
      <c r="B170" s="8" t="s">
        <v>211</v>
      </c>
      <c r="C170" s="8"/>
      <c r="D170" s="10">
        <v>69</v>
      </c>
      <c r="E170" s="8"/>
      <c r="F170" s="9">
        <v>648427</v>
      </c>
      <c r="G170" s="7"/>
    </row>
    <row r="171" spans="1:7" x14ac:dyDescent="0.25">
      <c r="A171" s="8">
        <v>164</v>
      </c>
      <c r="B171" s="8" t="s">
        <v>156</v>
      </c>
      <c r="C171" s="10">
        <v>9</v>
      </c>
      <c r="D171" s="10">
        <v>516</v>
      </c>
      <c r="E171" s="10">
        <v>14</v>
      </c>
      <c r="F171" s="9">
        <v>628058</v>
      </c>
      <c r="G171" s="7"/>
    </row>
    <row r="172" spans="1:7" x14ac:dyDescent="0.25">
      <c r="A172" s="8">
        <v>165</v>
      </c>
      <c r="B172" s="8" t="s">
        <v>84</v>
      </c>
      <c r="C172" s="10">
        <v>110</v>
      </c>
      <c r="D172" s="9">
        <v>6393</v>
      </c>
      <c r="E172" s="10">
        <v>176</v>
      </c>
      <c r="F172" s="9">
        <v>624919</v>
      </c>
      <c r="G172" s="7"/>
    </row>
    <row r="173" spans="1:7" x14ac:dyDescent="0.25">
      <c r="A173" s="8">
        <v>166</v>
      </c>
      <c r="B173" s="8" t="s">
        <v>201</v>
      </c>
      <c r="C173" s="10">
        <v>1</v>
      </c>
      <c r="D173" s="10">
        <v>15</v>
      </c>
      <c r="E173" s="10">
        <v>2</v>
      </c>
      <c r="F173" s="9">
        <v>595744</v>
      </c>
      <c r="G173" s="7"/>
    </row>
    <row r="174" spans="1:7" x14ac:dyDescent="0.25">
      <c r="A174" s="8">
        <v>167</v>
      </c>
      <c r="B174" s="8" t="s">
        <v>200</v>
      </c>
      <c r="C174" s="10">
        <v>1</v>
      </c>
      <c r="D174" s="10">
        <v>19</v>
      </c>
      <c r="E174" s="10">
        <v>2</v>
      </c>
      <c r="F174" s="9">
        <v>586106</v>
      </c>
      <c r="G174" s="7"/>
    </row>
    <row r="175" spans="1:7" x14ac:dyDescent="0.25">
      <c r="A175" s="8">
        <v>168</v>
      </c>
      <c r="B175" s="8" t="s">
        <v>170</v>
      </c>
      <c r="C175" s="10">
        <v>4</v>
      </c>
      <c r="D175" s="10">
        <v>702</v>
      </c>
      <c r="E175" s="10">
        <v>7</v>
      </c>
      <c r="F175" s="9">
        <v>555377</v>
      </c>
      <c r="G175" s="7"/>
    </row>
    <row r="176" spans="1:7" x14ac:dyDescent="0.25">
      <c r="A176" s="8">
        <v>169</v>
      </c>
      <c r="B176" s="8" t="s">
        <v>167</v>
      </c>
      <c r="C176" s="10">
        <v>5</v>
      </c>
      <c r="D176" s="9">
        <v>2665</v>
      </c>
      <c r="E176" s="10">
        <v>9</v>
      </c>
      <c r="F176" s="9">
        <v>539547</v>
      </c>
      <c r="G176" s="7"/>
    </row>
    <row r="177" spans="1:7" x14ac:dyDescent="0.25">
      <c r="A177" s="8">
        <v>170</v>
      </c>
      <c r="B177" s="8" t="s">
        <v>165</v>
      </c>
      <c r="C177" s="10">
        <v>6</v>
      </c>
      <c r="D177" s="9">
        <v>1384</v>
      </c>
      <c r="E177" s="10">
        <v>14</v>
      </c>
      <c r="F177" s="9">
        <v>441429</v>
      </c>
      <c r="G177" s="7"/>
    </row>
    <row r="178" spans="1:7" x14ac:dyDescent="0.25">
      <c r="A178" s="8">
        <v>171</v>
      </c>
      <c r="B178" s="8" t="s">
        <v>190</v>
      </c>
      <c r="C178" s="10">
        <v>1</v>
      </c>
      <c r="D178" s="10">
        <v>323</v>
      </c>
      <c r="E178" s="10">
        <v>2</v>
      </c>
      <c r="F178" s="9">
        <v>437059</v>
      </c>
      <c r="G178" s="7"/>
    </row>
    <row r="179" spans="1:7" x14ac:dyDescent="0.25">
      <c r="A179" s="8">
        <v>172</v>
      </c>
      <c r="B179" s="8" t="s">
        <v>139</v>
      </c>
      <c r="C179" s="10">
        <v>14</v>
      </c>
      <c r="D179" s="10">
        <v>402</v>
      </c>
      <c r="E179" s="10">
        <v>35</v>
      </c>
      <c r="F179" s="9">
        <v>400117</v>
      </c>
      <c r="G179" s="7"/>
    </row>
    <row r="180" spans="1:7" x14ac:dyDescent="0.25">
      <c r="A180" s="8">
        <v>173</v>
      </c>
      <c r="B180" s="8" t="s">
        <v>184</v>
      </c>
      <c r="C180" s="10">
        <v>2</v>
      </c>
      <c r="D180" s="10">
        <v>45</v>
      </c>
      <c r="E180" s="10">
        <v>5</v>
      </c>
      <c r="F180" s="9">
        <v>396870</v>
      </c>
      <c r="G180" s="7"/>
    </row>
    <row r="181" spans="1:7" x14ac:dyDescent="0.25">
      <c r="A181" s="8">
        <v>174</v>
      </c>
      <c r="B181" s="8" t="s">
        <v>149</v>
      </c>
      <c r="C181" s="10">
        <v>11</v>
      </c>
      <c r="D181" s="10">
        <v>255</v>
      </c>
      <c r="E181" s="10">
        <v>28</v>
      </c>
      <c r="F181" s="9">
        <v>392867</v>
      </c>
      <c r="G181" s="7"/>
    </row>
    <row r="182" spans="1:7" x14ac:dyDescent="0.25">
      <c r="A182" s="8">
        <v>175</v>
      </c>
      <c r="B182" s="8" t="s">
        <v>138</v>
      </c>
      <c r="C182" s="10">
        <v>14</v>
      </c>
      <c r="D182" s="10">
        <v>525</v>
      </c>
      <c r="E182" s="10">
        <v>37</v>
      </c>
      <c r="F182" s="9">
        <v>375293</v>
      </c>
      <c r="G182" s="7"/>
    </row>
    <row r="183" spans="1:7" x14ac:dyDescent="0.25">
      <c r="A183" s="8">
        <v>176</v>
      </c>
      <c r="B183" s="8" t="s">
        <v>150</v>
      </c>
      <c r="C183" s="10">
        <v>10</v>
      </c>
      <c r="D183" s="9">
        <v>5290</v>
      </c>
      <c r="E183" s="10">
        <v>29</v>
      </c>
      <c r="F183" s="9">
        <v>341024</v>
      </c>
      <c r="G183" s="7"/>
    </row>
    <row r="184" spans="1:7" x14ac:dyDescent="0.25">
      <c r="A184" s="8">
        <v>177</v>
      </c>
      <c r="B184" s="8" t="s">
        <v>188</v>
      </c>
      <c r="C184" s="10">
        <v>1</v>
      </c>
      <c r="D184" s="9">
        <v>1289</v>
      </c>
      <c r="E184" s="10">
        <v>3</v>
      </c>
      <c r="F184" s="9">
        <v>297835</v>
      </c>
      <c r="G184" s="7"/>
    </row>
    <row r="185" spans="1:7" x14ac:dyDescent="0.25">
      <c r="A185" s="8">
        <v>178</v>
      </c>
      <c r="B185" s="8" t="s">
        <v>163</v>
      </c>
      <c r="C185" s="10">
        <v>7</v>
      </c>
      <c r="D185" s="10">
        <v>320</v>
      </c>
      <c r="E185" s="10">
        <v>24</v>
      </c>
      <c r="F185" s="9">
        <v>287341</v>
      </c>
      <c r="G185" s="7"/>
    </row>
    <row r="186" spans="1:7" x14ac:dyDescent="0.25">
      <c r="A186" s="8">
        <v>179</v>
      </c>
      <c r="B186" s="8" t="s">
        <v>219</v>
      </c>
      <c r="C186" s="8"/>
      <c r="D186" s="10">
        <v>63</v>
      </c>
      <c r="E186" s="8"/>
      <c r="F186" s="9">
        <v>285223</v>
      </c>
      <c r="G186" s="7"/>
    </row>
    <row r="187" spans="1:7" x14ac:dyDescent="0.25">
      <c r="A187" s="8">
        <v>180</v>
      </c>
      <c r="B187" s="8" t="s">
        <v>210</v>
      </c>
      <c r="C187" s="8"/>
      <c r="D187" s="10">
        <v>214</v>
      </c>
      <c r="E187" s="8"/>
      <c r="F187" s="9">
        <v>280748</v>
      </c>
      <c r="G187" s="7"/>
    </row>
    <row r="188" spans="1:7" x14ac:dyDescent="0.25">
      <c r="A188" s="8">
        <v>181</v>
      </c>
      <c r="B188" s="8" t="s">
        <v>129</v>
      </c>
      <c r="C188" s="10">
        <v>20</v>
      </c>
      <c r="D188" s="9">
        <v>6005</v>
      </c>
      <c r="E188" s="10">
        <v>74</v>
      </c>
      <c r="F188" s="9">
        <v>272102</v>
      </c>
      <c r="G188" s="7"/>
    </row>
    <row r="189" spans="1:7" x14ac:dyDescent="0.25">
      <c r="A189" s="8">
        <v>182</v>
      </c>
      <c r="B189" s="8" t="s">
        <v>145</v>
      </c>
      <c r="C189" s="10">
        <v>12</v>
      </c>
      <c r="D189" s="9">
        <v>2016</v>
      </c>
      <c r="E189" s="10">
        <v>55</v>
      </c>
      <c r="F189" s="9">
        <v>218731</v>
      </c>
      <c r="G189" s="7"/>
    </row>
    <row r="190" spans="1:7" x14ac:dyDescent="0.25">
      <c r="A190" s="8">
        <v>183</v>
      </c>
      <c r="B190" s="8" t="s">
        <v>220</v>
      </c>
      <c r="C190" s="8"/>
      <c r="D190" s="10">
        <v>98</v>
      </c>
      <c r="E190" s="8"/>
      <c r="F190" s="9">
        <v>183545</v>
      </c>
      <c r="G190" s="7"/>
    </row>
    <row r="191" spans="1:7" x14ac:dyDescent="0.25">
      <c r="A191" s="8">
        <v>184</v>
      </c>
      <c r="B191" s="8" t="s">
        <v>106</v>
      </c>
      <c r="C191" s="10">
        <v>45</v>
      </c>
      <c r="D191" s="9">
        <v>3218</v>
      </c>
      <c r="E191" s="10">
        <v>259</v>
      </c>
      <c r="F191" s="9">
        <v>173702</v>
      </c>
      <c r="G191" s="7"/>
    </row>
    <row r="192" spans="1:7" x14ac:dyDescent="0.25">
      <c r="A192" s="8">
        <v>185</v>
      </c>
      <c r="B192" s="8" t="s">
        <v>197</v>
      </c>
      <c r="C192" s="10">
        <v>1</v>
      </c>
      <c r="D192" s="10">
        <v>110</v>
      </c>
      <c r="E192" s="10">
        <v>6</v>
      </c>
      <c r="F192" s="9">
        <v>164028</v>
      </c>
      <c r="G192" s="7"/>
    </row>
    <row r="193" spans="1:7" x14ac:dyDescent="0.25">
      <c r="A193" s="8">
        <v>186</v>
      </c>
      <c r="B193" s="8" t="s">
        <v>215</v>
      </c>
      <c r="C193" s="8"/>
      <c r="D193" s="10">
        <v>204</v>
      </c>
      <c r="E193" s="8"/>
      <c r="F193" s="9">
        <v>112472</v>
      </c>
      <c r="G193" s="7"/>
    </row>
    <row r="194" spans="1:7" x14ac:dyDescent="0.25">
      <c r="A194" s="8">
        <v>187</v>
      </c>
      <c r="B194" s="8" t="s">
        <v>221</v>
      </c>
      <c r="C194" s="8"/>
      <c r="D194" s="10">
        <v>162</v>
      </c>
      <c r="E194" s="8"/>
      <c r="F194" s="9">
        <v>110906</v>
      </c>
      <c r="G194" s="7"/>
    </row>
    <row r="195" spans="1:7" x14ac:dyDescent="0.25">
      <c r="A195" s="8">
        <v>188</v>
      </c>
      <c r="B195" s="8" t="s">
        <v>178</v>
      </c>
      <c r="C195" s="10">
        <v>3</v>
      </c>
      <c r="D195" s="10">
        <v>946</v>
      </c>
      <c r="E195" s="10">
        <v>28</v>
      </c>
      <c r="F195" s="9">
        <v>106722</v>
      </c>
      <c r="G195" s="7"/>
    </row>
    <row r="196" spans="1:7" x14ac:dyDescent="0.25">
      <c r="A196" s="8">
        <v>189</v>
      </c>
      <c r="B196" s="8" t="s">
        <v>227</v>
      </c>
      <c r="C196" s="8"/>
      <c r="D196" s="10">
        <v>112</v>
      </c>
      <c r="E196" s="8"/>
      <c r="F196" s="9">
        <v>98287</v>
      </c>
      <c r="G196" s="7"/>
    </row>
    <row r="197" spans="1:7" x14ac:dyDescent="0.25">
      <c r="A197" s="8">
        <v>190</v>
      </c>
      <c r="B197" s="8" t="s">
        <v>181</v>
      </c>
      <c r="C197" s="10">
        <v>3</v>
      </c>
      <c r="D197" s="10">
        <v>255</v>
      </c>
      <c r="E197" s="10">
        <v>31</v>
      </c>
      <c r="F197" s="9">
        <v>97848</v>
      </c>
      <c r="G197" s="7"/>
    </row>
    <row r="198" spans="1:7" x14ac:dyDescent="0.25">
      <c r="A198" s="8">
        <v>191</v>
      </c>
      <c r="B198" s="8" t="s">
        <v>122</v>
      </c>
      <c r="C198" s="10">
        <v>24</v>
      </c>
      <c r="D198" s="9">
        <v>3953</v>
      </c>
      <c r="E198" s="10">
        <v>282</v>
      </c>
      <c r="F198" s="9">
        <v>84989</v>
      </c>
      <c r="G198" s="7"/>
    </row>
    <row r="199" spans="1:7" x14ac:dyDescent="0.25">
      <c r="A199" s="8">
        <v>192</v>
      </c>
      <c r="B199" s="8" t="s">
        <v>102</v>
      </c>
      <c r="C199" s="10">
        <v>51</v>
      </c>
      <c r="D199" s="9">
        <v>9877</v>
      </c>
      <c r="E199" s="10">
        <v>660</v>
      </c>
      <c r="F199" s="9">
        <v>77253</v>
      </c>
      <c r="G199" s="7"/>
    </row>
    <row r="200" spans="1:7" x14ac:dyDescent="0.25">
      <c r="A200" s="8">
        <v>193</v>
      </c>
      <c r="B200" s="8" t="s">
        <v>222</v>
      </c>
      <c r="C200" s="8"/>
      <c r="D200" s="10">
        <v>222</v>
      </c>
      <c r="E200" s="8"/>
      <c r="F200" s="9">
        <v>71969</v>
      </c>
      <c r="G200" s="7"/>
    </row>
    <row r="201" spans="1:7" x14ac:dyDescent="0.25">
      <c r="A201" s="8">
        <v>194</v>
      </c>
      <c r="B201" s="8" t="s">
        <v>191</v>
      </c>
      <c r="C201" s="10">
        <v>1</v>
      </c>
      <c r="D201" s="9">
        <v>2041</v>
      </c>
      <c r="E201" s="10">
        <v>15</v>
      </c>
      <c r="F201" s="9">
        <v>65644</v>
      </c>
      <c r="G201" s="7"/>
    </row>
    <row r="202" spans="1:7" x14ac:dyDescent="0.25">
      <c r="A202" s="8">
        <v>195</v>
      </c>
      <c r="B202" s="8" t="s">
        <v>157</v>
      </c>
      <c r="C202" s="10">
        <v>9</v>
      </c>
      <c r="D202" s="9">
        <v>2231</v>
      </c>
      <c r="E202" s="10">
        <v>144</v>
      </c>
      <c r="F202" s="9">
        <v>62299</v>
      </c>
      <c r="G202" s="7"/>
    </row>
    <row r="203" spans="1:7" x14ac:dyDescent="0.25">
      <c r="A203" s="8">
        <v>196</v>
      </c>
      <c r="B203" s="8" t="s">
        <v>225</v>
      </c>
      <c r="C203" s="8"/>
      <c r="D203" s="10">
        <v>211</v>
      </c>
      <c r="E203" s="8"/>
      <c r="F203" s="9">
        <v>56761</v>
      </c>
      <c r="G203" s="7"/>
    </row>
    <row r="204" spans="1:7" x14ac:dyDescent="0.25">
      <c r="A204" s="8">
        <v>197</v>
      </c>
      <c r="B204" s="8" t="s">
        <v>223</v>
      </c>
      <c r="C204" s="8"/>
      <c r="D204" s="10">
        <v>282</v>
      </c>
      <c r="E204" s="8"/>
      <c r="F204" s="9">
        <v>53162</v>
      </c>
      <c r="G204" s="7"/>
    </row>
    <row r="205" spans="1:7" x14ac:dyDescent="0.25">
      <c r="A205" s="8">
        <v>198</v>
      </c>
      <c r="B205" s="8" t="s">
        <v>206</v>
      </c>
      <c r="C205" s="8"/>
      <c r="D205" s="9">
        <v>3828</v>
      </c>
      <c r="E205" s="8"/>
      <c r="F205" s="9">
        <v>48845</v>
      </c>
      <c r="G205" s="7"/>
    </row>
    <row r="206" spans="1:7" x14ac:dyDescent="0.25">
      <c r="A206" s="8">
        <v>199</v>
      </c>
      <c r="B206" s="8" t="s">
        <v>133</v>
      </c>
      <c r="C206" s="10">
        <v>15</v>
      </c>
      <c r="D206" s="9">
        <v>1798</v>
      </c>
      <c r="E206" s="10">
        <v>350</v>
      </c>
      <c r="F206" s="9">
        <v>42827</v>
      </c>
      <c r="G206" s="7"/>
    </row>
    <row r="207" spans="1:7" x14ac:dyDescent="0.25">
      <c r="A207" s="8">
        <v>200</v>
      </c>
      <c r="B207" s="8" t="s">
        <v>173</v>
      </c>
      <c r="C207" s="10">
        <v>4</v>
      </c>
      <c r="D207" s="9">
        <v>2499</v>
      </c>
      <c r="E207" s="10">
        <v>102</v>
      </c>
      <c r="F207" s="9">
        <v>39214</v>
      </c>
      <c r="G207" s="7"/>
    </row>
    <row r="208" spans="1:7" x14ac:dyDescent="0.25">
      <c r="A208" s="8">
        <v>201</v>
      </c>
      <c r="B208" s="8" t="s">
        <v>198</v>
      </c>
      <c r="C208" s="10">
        <v>1</v>
      </c>
      <c r="D208" s="10">
        <v>310</v>
      </c>
      <c r="E208" s="10">
        <v>26</v>
      </c>
      <c r="F208" s="9">
        <v>38663</v>
      </c>
      <c r="G208" s="7"/>
    </row>
    <row r="209" spans="1:7" x14ac:dyDescent="0.25">
      <c r="A209" s="8">
        <v>202</v>
      </c>
      <c r="B209" s="8" t="s">
        <v>180</v>
      </c>
      <c r="C209" s="10">
        <v>3</v>
      </c>
      <c r="D209" s="9">
        <v>1036</v>
      </c>
      <c r="E209" s="10">
        <v>78</v>
      </c>
      <c r="F209" s="9">
        <v>38597</v>
      </c>
      <c r="G209" s="7"/>
    </row>
    <row r="210" spans="1:7" x14ac:dyDescent="0.25">
      <c r="A210" s="8">
        <v>203</v>
      </c>
      <c r="B210" s="8" t="s">
        <v>193</v>
      </c>
      <c r="C210" s="10">
        <v>1</v>
      </c>
      <c r="D210" s="9">
        <v>2151</v>
      </c>
      <c r="E210" s="10">
        <v>26</v>
      </c>
      <c r="F210" s="9">
        <v>38117</v>
      </c>
      <c r="G210" s="7"/>
    </row>
    <row r="211" spans="1:7" x14ac:dyDescent="0.25">
      <c r="A211" s="8">
        <v>204</v>
      </c>
      <c r="B211" s="8" t="s">
        <v>108</v>
      </c>
      <c r="C211" s="10">
        <v>42</v>
      </c>
      <c r="D211" s="9">
        <v>19632</v>
      </c>
      <c r="E211" s="9">
        <v>1238</v>
      </c>
      <c r="F211" s="9">
        <v>33924</v>
      </c>
      <c r="G211" s="7"/>
    </row>
    <row r="212" spans="1:7" x14ac:dyDescent="0.25">
      <c r="A212" s="8">
        <v>205</v>
      </c>
      <c r="B212" s="8" t="s">
        <v>207</v>
      </c>
      <c r="C212" s="8"/>
      <c r="D212" s="9">
        <v>4571</v>
      </c>
      <c r="E212" s="8"/>
      <c r="F212" s="9">
        <v>33692</v>
      </c>
      <c r="G212" s="7"/>
    </row>
    <row r="213" spans="1:7" x14ac:dyDescent="0.25">
      <c r="A213" s="8">
        <v>206</v>
      </c>
      <c r="B213" s="8" t="s">
        <v>202</v>
      </c>
      <c r="C213" s="10">
        <v>1</v>
      </c>
      <c r="D213" s="10">
        <v>265</v>
      </c>
      <c r="E213" s="10">
        <v>33</v>
      </c>
      <c r="F213" s="9">
        <v>30211</v>
      </c>
      <c r="G213" s="7"/>
    </row>
    <row r="214" spans="1:7" x14ac:dyDescent="0.25">
      <c r="A214" s="8">
        <v>207</v>
      </c>
      <c r="B214" s="8" t="s">
        <v>229</v>
      </c>
      <c r="C214" s="8"/>
      <c r="D214" s="10">
        <v>229</v>
      </c>
      <c r="E214" s="8"/>
      <c r="F214" s="9">
        <v>26199</v>
      </c>
      <c r="G214" s="7"/>
    </row>
    <row r="215" spans="1:7" x14ac:dyDescent="0.25">
      <c r="A215" s="8">
        <v>208</v>
      </c>
      <c r="B215" s="8" t="s">
        <v>231</v>
      </c>
      <c r="C215" s="8"/>
      <c r="D215" s="10">
        <v>200</v>
      </c>
      <c r="E215" s="8"/>
      <c r="F215" s="9">
        <v>14990</v>
      </c>
      <c r="G215" s="7"/>
    </row>
    <row r="216" spans="1:7" x14ac:dyDescent="0.25">
      <c r="A216" s="8">
        <v>209</v>
      </c>
      <c r="B216" s="8" t="s">
        <v>230</v>
      </c>
      <c r="C216" s="8"/>
      <c r="D216" s="10">
        <v>608</v>
      </c>
      <c r="E216" s="8"/>
      <c r="F216" s="9">
        <v>9874</v>
      </c>
      <c r="G216" s="7"/>
    </row>
    <row r="217" spans="1:7" x14ac:dyDescent="0.25">
      <c r="A217" s="8">
        <v>210</v>
      </c>
      <c r="B217" s="8" t="s">
        <v>233</v>
      </c>
      <c r="C217" s="8"/>
      <c r="D217" s="10">
        <v>173</v>
      </c>
      <c r="E217" s="8"/>
      <c r="F217" s="9">
        <v>5797</v>
      </c>
      <c r="G217" s="7"/>
    </row>
    <row r="218" spans="1:7" x14ac:dyDescent="0.25">
      <c r="A218" s="8">
        <v>211</v>
      </c>
      <c r="B218" s="8" t="s">
        <v>199</v>
      </c>
      <c r="C218" s="10">
        <v>1</v>
      </c>
      <c r="D218" s="9">
        <v>2204</v>
      </c>
      <c r="E218" s="10">
        <v>200</v>
      </c>
      <c r="F218" s="9">
        <v>4992</v>
      </c>
      <c r="G218" s="7"/>
    </row>
    <row r="219" spans="1:7" x14ac:dyDescent="0.25">
      <c r="A219" s="8">
        <v>212</v>
      </c>
      <c r="B219" s="8" t="s">
        <v>224</v>
      </c>
      <c r="C219" s="8"/>
      <c r="D219" s="9">
        <v>3747</v>
      </c>
      <c r="E219" s="8"/>
      <c r="F219" s="9">
        <v>3469</v>
      </c>
      <c r="G219" s="7"/>
    </row>
    <row r="220" spans="1:7" x14ac:dyDescent="0.25">
      <c r="A220" s="8">
        <v>213</v>
      </c>
      <c r="B220" s="8" t="s">
        <v>226</v>
      </c>
      <c r="C220" s="8"/>
      <c r="D220" s="9">
        <v>14981</v>
      </c>
      <c r="E220" s="8"/>
      <c r="F220" s="10">
        <v>801</v>
      </c>
      <c r="G220" s="7"/>
    </row>
    <row r="221" spans="1:7" x14ac:dyDescent="0.25">
      <c r="A221" s="8">
        <v>214</v>
      </c>
      <c r="B221" s="8" t="s">
        <v>140</v>
      </c>
      <c r="C221" s="10">
        <v>13</v>
      </c>
      <c r="D221" s="8"/>
      <c r="E221" s="8"/>
      <c r="F221" s="10">
        <v>0</v>
      </c>
      <c r="G221" s="7"/>
    </row>
    <row r="222" spans="1:7" x14ac:dyDescent="0.25">
      <c r="A222" s="8">
        <v>215</v>
      </c>
      <c r="B222" s="8" t="s">
        <v>185</v>
      </c>
      <c r="C222" s="10">
        <v>2</v>
      </c>
      <c r="D222" s="8"/>
      <c r="E222" s="8"/>
      <c r="F222" s="10">
        <v>0</v>
      </c>
      <c r="G222" s="7"/>
    </row>
    <row r="223" spans="1:7" x14ac:dyDescent="0.25">
      <c r="A223" s="8"/>
      <c r="B223" s="8" t="s">
        <v>234</v>
      </c>
      <c r="C223" s="9">
        <v>351601</v>
      </c>
      <c r="D223" s="10">
        <v>728.3</v>
      </c>
      <c r="E223" s="10">
        <v>45.1</v>
      </c>
      <c r="F223" s="9">
        <v>7750747910</v>
      </c>
      <c r="G223" s="7"/>
    </row>
  </sheetData>
  <sortState xmlns:xlrd2="http://schemas.microsoft.com/office/spreadsheetml/2017/richdata2" ref="B8:G222">
    <sortCondition descending="1" ref="F8:F222"/>
  </sortState>
  <mergeCells count="7">
    <mergeCell ref="G4:G5"/>
    <mergeCell ref="A4:A5"/>
    <mergeCell ref="B4:B5"/>
    <mergeCell ref="C4:C5"/>
    <mergeCell ref="D4:D5"/>
    <mergeCell ref="E4:E5"/>
    <mergeCell ref="F4:F5"/>
  </mergeCells>
  <hyperlinks>
    <hyperlink ref="B2" r:id="rId1" display="https://www.worldometers.info/coronavirus/?utm_campaign=homeAdvegas1?%22" xr:uid="{DFD3A3F5-8E8F-49C1-8009-7C4B3135DB76}"/>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76A90-FBC8-42B7-9D3F-D36536F83247}">
  <dimension ref="A2:M77"/>
  <sheetViews>
    <sheetView workbookViewId="0"/>
  </sheetViews>
  <sheetFormatPr defaultRowHeight="15" x14ac:dyDescent="0.25"/>
  <cols>
    <col min="1" max="1" width="5.140625" style="17" customWidth="1"/>
    <col min="2" max="2" width="68.140625" bestFit="1" customWidth="1"/>
    <col min="3" max="3" width="7.7109375" bestFit="1" customWidth="1"/>
    <col min="4" max="4" width="8.140625" bestFit="1" customWidth="1"/>
    <col min="5" max="5" width="6.42578125" bestFit="1" customWidth="1"/>
    <col min="6" max="6" width="11.42578125" bestFit="1" customWidth="1"/>
    <col min="7" max="7" width="7.140625" bestFit="1" customWidth="1"/>
    <col min="8" max="8" width="7.42578125" bestFit="1" customWidth="1"/>
    <col min="9" max="9" width="9.85546875" bestFit="1" customWidth="1"/>
    <col min="10" max="10" width="7" bestFit="1" customWidth="1"/>
    <col min="11" max="11" width="6.42578125" bestFit="1" customWidth="1"/>
    <col min="13" max="13" width="9.28515625" bestFit="1" customWidth="1"/>
  </cols>
  <sheetData>
    <row r="2" spans="1:13" ht="18" x14ac:dyDescent="0.25">
      <c r="A2" s="16" t="s">
        <v>238</v>
      </c>
    </row>
    <row r="4" spans="1:13" x14ac:dyDescent="0.25">
      <c r="A4" s="391" t="s">
        <v>239</v>
      </c>
      <c r="B4" s="15" t="s">
        <v>240</v>
      </c>
      <c r="C4" s="15" t="s">
        <v>242</v>
      </c>
      <c r="D4" s="15" t="s">
        <v>244</v>
      </c>
      <c r="E4" s="15" t="s">
        <v>247</v>
      </c>
      <c r="F4" s="15" t="s">
        <v>250</v>
      </c>
      <c r="G4" s="15" t="s">
        <v>253</v>
      </c>
      <c r="H4" s="15" t="s">
        <v>256</v>
      </c>
      <c r="I4" s="15" t="s">
        <v>258</v>
      </c>
      <c r="J4" s="15" t="s">
        <v>261</v>
      </c>
      <c r="K4" s="15" t="s">
        <v>264</v>
      </c>
      <c r="L4" s="15" t="s">
        <v>266</v>
      </c>
      <c r="M4" s="15" t="s">
        <v>268</v>
      </c>
    </row>
    <row r="5" spans="1:13" x14ac:dyDescent="0.25">
      <c r="A5" s="391"/>
      <c r="B5" s="4" t="s">
        <v>241</v>
      </c>
      <c r="C5" s="15" t="s">
        <v>243</v>
      </c>
      <c r="D5" s="15" t="s">
        <v>245</v>
      </c>
      <c r="E5" s="15" t="s">
        <v>248</v>
      </c>
      <c r="F5" s="15" t="s">
        <v>251</v>
      </c>
      <c r="G5" s="15" t="s">
        <v>254</v>
      </c>
      <c r="H5" s="15" t="s">
        <v>257</v>
      </c>
      <c r="I5" s="15" t="s">
        <v>259</v>
      </c>
      <c r="J5" s="15" t="s">
        <v>262</v>
      </c>
      <c r="K5" s="15" t="s">
        <v>265</v>
      </c>
      <c r="L5" s="15" t="s">
        <v>267</v>
      </c>
      <c r="M5" s="15" t="s">
        <v>269</v>
      </c>
    </row>
    <row r="6" spans="1:13" x14ac:dyDescent="0.25">
      <c r="A6" s="391"/>
      <c r="B6" s="1"/>
      <c r="C6" s="1"/>
      <c r="D6" s="15" t="s">
        <v>246</v>
      </c>
      <c r="E6" s="15" t="s">
        <v>249</v>
      </c>
      <c r="F6" s="15" t="s">
        <v>252</v>
      </c>
      <c r="G6" s="15" t="s">
        <v>255</v>
      </c>
      <c r="H6" s="1"/>
      <c r="I6" s="15" t="s">
        <v>260</v>
      </c>
      <c r="J6" s="15" t="s">
        <v>263</v>
      </c>
      <c r="K6" s="1"/>
      <c r="L6" s="1"/>
      <c r="M6" s="1"/>
    </row>
    <row r="7" spans="1:13" x14ac:dyDescent="0.25">
      <c r="B7" s="15" t="s">
        <v>270</v>
      </c>
      <c r="C7" s="1"/>
      <c r="D7" s="1"/>
      <c r="E7" s="1"/>
      <c r="F7" s="1"/>
      <c r="G7" s="1"/>
      <c r="H7" s="1"/>
      <c r="I7" s="1"/>
      <c r="J7" s="1"/>
      <c r="K7" s="1"/>
      <c r="L7" s="1"/>
      <c r="M7" s="1"/>
    </row>
    <row r="8" spans="1:13" x14ac:dyDescent="0.25">
      <c r="A8" s="17">
        <v>1</v>
      </c>
      <c r="B8" s="1" t="s">
        <v>271</v>
      </c>
      <c r="C8" s="1" t="s">
        <v>272</v>
      </c>
      <c r="D8" s="1" t="s">
        <v>272</v>
      </c>
      <c r="E8" s="1" t="s">
        <v>272</v>
      </c>
      <c r="F8" s="1" t="s">
        <v>272</v>
      </c>
      <c r="G8" s="1" t="s">
        <v>272</v>
      </c>
      <c r="H8" s="1"/>
      <c r="I8" s="1" t="s">
        <v>272</v>
      </c>
      <c r="J8" s="1" t="s">
        <v>272</v>
      </c>
      <c r="K8" s="1" t="s">
        <v>272</v>
      </c>
      <c r="L8" s="1" t="s">
        <v>272</v>
      </c>
      <c r="M8" s="1" t="s">
        <v>272</v>
      </c>
    </row>
    <row r="9" spans="1:13" x14ac:dyDescent="0.25">
      <c r="A9" s="17">
        <v>2</v>
      </c>
      <c r="B9" s="1" t="s">
        <v>273</v>
      </c>
      <c r="C9" s="1" t="s">
        <v>272</v>
      </c>
      <c r="D9" s="1"/>
      <c r="E9" s="1" t="s">
        <v>272</v>
      </c>
      <c r="F9" s="1"/>
      <c r="G9" s="1" t="s">
        <v>272</v>
      </c>
      <c r="H9" s="1"/>
      <c r="I9" s="1" t="s">
        <v>272</v>
      </c>
      <c r="J9" s="1"/>
      <c r="K9" s="1"/>
      <c r="L9" s="1" t="s">
        <v>272</v>
      </c>
      <c r="M9" s="1" t="s">
        <v>272</v>
      </c>
    </row>
    <row r="10" spans="1:13" x14ac:dyDescent="0.25">
      <c r="A10" s="17">
        <v>3</v>
      </c>
      <c r="B10" s="1" t="s">
        <v>274</v>
      </c>
      <c r="C10" s="1" t="s">
        <v>272</v>
      </c>
      <c r="D10" s="1" t="s">
        <v>272</v>
      </c>
      <c r="E10" s="1" t="s">
        <v>272</v>
      </c>
      <c r="F10" s="1" t="s">
        <v>272</v>
      </c>
      <c r="G10" s="1"/>
      <c r="H10" s="1"/>
      <c r="I10" s="1" t="s">
        <v>272</v>
      </c>
      <c r="J10" s="1" t="s">
        <v>272</v>
      </c>
      <c r="K10" s="1"/>
      <c r="L10" s="1" t="s">
        <v>272</v>
      </c>
      <c r="M10" s="1" t="s">
        <v>272</v>
      </c>
    </row>
    <row r="11" spans="1:13" x14ac:dyDescent="0.25">
      <c r="A11" s="17">
        <v>4</v>
      </c>
      <c r="B11" s="1" t="s">
        <v>275</v>
      </c>
      <c r="C11" s="1" t="s">
        <v>272</v>
      </c>
      <c r="D11" s="1" t="s">
        <v>272</v>
      </c>
      <c r="E11" s="1" t="s">
        <v>272</v>
      </c>
      <c r="F11" s="1" t="s">
        <v>272</v>
      </c>
      <c r="G11" s="1"/>
      <c r="H11" s="1"/>
      <c r="I11" s="1" t="s">
        <v>272</v>
      </c>
      <c r="J11" s="1" t="s">
        <v>272</v>
      </c>
      <c r="K11" s="1" t="s">
        <v>272</v>
      </c>
      <c r="L11" s="1" t="s">
        <v>272</v>
      </c>
      <c r="M11" s="1" t="s">
        <v>272</v>
      </c>
    </row>
    <row r="12" spans="1:13" x14ac:dyDescent="0.25">
      <c r="A12" s="17">
        <v>5</v>
      </c>
      <c r="B12" s="1" t="s">
        <v>276</v>
      </c>
      <c r="C12" s="1" t="s">
        <v>277</v>
      </c>
      <c r="D12" s="1"/>
      <c r="E12" s="1"/>
      <c r="F12" s="1"/>
      <c r="G12" s="1"/>
      <c r="H12" s="1"/>
      <c r="I12" s="1" t="s">
        <v>272</v>
      </c>
      <c r="J12" s="1" t="s">
        <v>278</v>
      </c>
      <c r="K12" s="1"/>
      <c r="L12" s="1" t="s">
        <v>272</v>
      </c>
      <c r="M12" s="1" t="s">
        <v>272</v>
      </c>
    </row>
    <row r="13" spans="1:13" x14ac:dyDescent="0.25">
      <c r="A13" s="17">
        <v>6</v>
      </c>
      <c r="B13" s="1" t="s">
        <v>279</v>
      </c>
      <c r="C13" s="1"/>
      <c r="D13" s="1"/>
      <c r="E13" s="1"/>
      <c r="F13" s="1"/>
      <c r="G13" s="1"/>
      <c r="H13" s="1"/>
      <c r="I13" s="1"/>
      <c r="J13" s="1"/>
      <c r="K13" s="1"/>
      <c r="L13" s="1" t="s">
        <v>272</v>
      </c>
      <c r="M13" s="1" t="s">
        <v>272</v>
      </c>
    </row>
    <row r="14" spans="1:13" x14ac:dyDescent="0.25">
      <c r="A14" s="17">
        <v>7</v>
      </c>
      <c r="B14" s="1" t="s">
        <v>280</v>
      </c>
      <c r="C14" s="1"/>
      <c r="D14" s="1"/>
      <c r="E14" s="1"/>
      <c r="F14" s="1"/>
      <c r="G14" s="1"/>
      <c r="H14" s="1"/>
      <c r="I14" s="1"/>
      <c r="J14" s="1"/>
      <c r="K14" s="1"/>
      <c r="L14" s="1" t="s">
        <v>272</v>
      </c>
      <c r="M14" s="1" t="s">
        <v>272</v>
      </c>
    </row>
    <row r="15" spans="1:13" x14ac:dyDescent="0.25">
      <c r="A15" s="17">
        <v>8</v>
      </c>
      <c r="B15" s="1" t="s">
        <v>281</v>
      </c>
      <c r="C15" s="1"/>
      <c r="D15" s="1"/>
      <c r="E15" s="1"/>
      <c r="F15" s="1"/>
      <c r="G15" s="1"/>
      <c r="H15" s="1"/>
      <c r="I15" s="1"/>
      <c r="J15" s="1"/>
      <c r="K15" s="1"/>
      <c r="L15" s="1" t="s">
        <v>272</v>
      </c>
      <c r="M15" s="1" t="s">
        <v>272</v>
      </c>
    </row>
    <row r="16" spans="1:13" x14ac:dyDescent="0.25">
      <c r="B16" s="15" t="s">
        <v>282</v>
      </c>
      <c r="C16" s="1"/>
      <c r="D16" s="1"/>
      <c r="E16" s="1"/>
      <c r="F16" s="1"/>
      <c r="G16" s="1"/>
      <c r="H16" s="1"/>
      <c r="I16" s="1"/>
      <c r="J16" s="1"/>
      <c r="K16" s="1"/>
      <c r="L16" s="1"/>
      <c r="M16" s="1"/>
    </row>
    <row r="17" spans="1:13" x14ac:dyDescent="0.25">
      <c r="A17" s="17">
        <v>1</v>
      </c>
      <c r="B17" s="1" t="s">
        <v>283</v>
      </c>
      <c r="C17" s="1"/>
      <c r="D17" s="1"/>
      <c r="E17" s="1"/>
      <c r="F17" s="1"/>
      <c r="G17" s="1"/>
      <c r="H17" s="1" t="s">
        <v>272</v>
      </c>
      <c r="I17" s="1" t="s">
        <v>272</v>
      </c>
      <c r="J17" s="1"/>
      <c r="K17" s="1"/>
      <c r="L17" s="1" t="s">
        <v>284</v>
      </c>
      <c r="M17" s="1" t="s">
        <v>284</v>
      </c>
    </row>
    <row r="18" spans="1:13" x14ac:dyDescent="0.25">
      <c r="A18" s="17">
        <v>2</v>
      </c>
      <c r="B18" s="1" t="s">
        <v>285</v>
      </c>
      <c r="C18" s="1"/>
      <c r="D18" s="1"/>
      <c r="E18" s="1"/>
      <c r="F18" s="1"/>
      <c r="G18" s="1"/>
      <c r="H18" s="1" t="s">
        <v>272</v>
      </c>
      <c r="I18" s="1" t="s">
        <v>272</v>
      </c>
      <c r="J18" s="1"/>
      <c r="K18" s="1"/>
      <c r="L18" s="1" t="s">
        <v>284</v>
      </c>
      <c r="M18" s="1" t="s">
        <v>284</v>
      </c>
    </row>
    <row r="19" spans="1:13" x14ac:dyDescent="0.25">
      <c r="A19" s="17">
        <v>3</v>
      </c>
      <c r="B19" s="1" t="s">
        <v>286</v>
      </c>
      <c r="C19" s="1"/>
      <c r="D19" s="1" t="s">
        <v>272</v>
      </c>
      <c r="E19" s="1" t="s">
        <v>272</v>
      </c>
      <c r="F19" s="1" t="s">
        <v>272</v>
      </c>
      <c r="G19" s="1"/>
      <c r="H19" s="1"/>
      <c r="I19" s="1" t="s">
        <v>272</v>
      </c>
      <c r="J19" s="1" t="s">
        <v>272</v>
      </c>
      <c r="K19" s="1"/>
      <c r="L19" s="1" t="s">
        <v>284</v>
      </c>
      <c r="M19" s="1" t="s">
        <v>284</v>
      </c>
    </row>
    <row r="20" spans="1:13" x14ac:dyDescent="0.25">
      <c r="A20" s="392">
        <v>4</v>
      </c>
      <c r="B20" s="1" t="s">
        <v>287</v>
      </c>
      <c r="C20" s="390"/>
      <c r="D20" s="390" t="s">
        <v>272</v>
      </c>
      <c r="E20" s="390" t="s">
        <v>272</v>
      </c>
      <c r="F20" s="390" t="s">
        <v>272</v>
      </c>
      <c r="G20" s="390" t="s">
        <v>272</v>
      </c>
      <c r="H20" s="390"/>
      <c r="I20" s="390" t="s">
        <v>272</v>
      </c>
      <c r="J20" s="390" t="s">
        <v>272</v>
      </c>
      <c r="K20" s="390"/>
      <c r="L20" s="390" t="s">
        <v>284</v>
      </c>
      <c r="M20" s="390" t="s">
        <v>284</v>
      </c>
    </row>
    <row r="21" spans="1:13" x14ac:dyDescent="0.25">
      <c r="A21" s="392"/>
      <c r="B21" s="1" t="s">
        <v>288</v>
      </c>
      <c r="C21" s="390"/>
      <c r="D21" s="390"/>
      <c r="E21" s="390"/>
      <c r="F21" s="390"/>
      <c r="G21" s="390"/>
      <c r="H21" s="390"/>
      <c r="I21" s="390"/>
      <c r="J21" s="390"/>
      <c r="K21" s="390"/>
      <c r="L21" s="390"/>
      <c r="M21" s="390"/>
    </row>
    <row r="22" spans="1:13" x14ac:dyDescent="0.25">
      <c r="A22" s="17">
        <v>5</v>
      </c>
      <c r="B22" s="1" t="s">
        <v>289</v>
      </c>
      <c r="C22" s="1"/>
      <c r="D22" s="1" t="s">
        <v>272</v>
      </c>
      <c r="E22" s="1" t="s">
        <v>272</v>
      </c>
      <c r="F22" s="1" t="s">
        <v>272</v>
      </c>
      <c r="G22" s="1" t="s">
        <v>272</v>
      </c>
      <c r="H22" s="1"/>
      <c r="I22" s="1" t="s">
        <v>272</v>
      </c>
      <c r="J22" s="1" t="s">
        <v>272</v>
      </c>
      <c r="K22" s="1"/>
      <c r="L22" s="1" t="s">
        <v>284</v>
      </c>
      <c r="M22" s="1" t="s">
        <v>284</v>
      </c>
    </row>
    <row r="23" spans="1:13" x14ac:dyDescent="0.25">
      <c r="B23" s="1" t="s">
        <v>290</v>
      </c>
      <c r="C23" s="1"/>
      <c r="D23" s="1"/>
      <c r="E23" s="1"/>
      <c r="F23" s="1"/>
      <c r="G23" s="1"/>
      <c r="H23" s="1"/>
      <c r="I23" s="1"/>
      <c r="J23" s="1"/>
      <c r="K23" s="1"/>
      <c r="L23" s="1"/>
      <c r="M23" s="1"/>
    </row>
    <row r="24" spans="1:13" x14ac:dyDescent="0.25">
      <c r="A24" s="17">
        <v>1</v>
      </c>
      <c r="B24" s="1" t="s">
        <v>291</v>
      </c>
      <c r="C24" s="1"/>
      <c r="D24" s="1" t="s">
        <v>292</v>
      </c>
      <c r="E24" s="1" t="s">
        <v>292</v>
      </c>
      <c r="F24" s="1" t="s">
        <v>272</v>
      </c>
      <c r="G24" s="1"/>
      <c r="H24" s="1" t="s">
        <v>272</v>
      </c>
      <c r="I24" s="1"/>
      <c r="J24" s="1"/>
      <c r="K24" s="1"/>
      <c r="L24" s="1" t="s">
        <v>292</v>
      </c>
      <c r="M24" s="1" t="s">
        <v>293</v>
      </c>
    </row>
    <row r="25" spans="1:13" x14ac:dyDescent="0.25">
      <c r="A25" s="17">
        <v>2</v>
      </c>
      <c r="B25" s="1" t="s">
        <v>294</v>
      </c>
      <c r="C25" s="1"/>
      <c r="D25" s="1" t="s">
        <v>292</v>
      </c>
      <c r="E25" s="1" t="s">
        <v>292</v>
      </c>
      <c r="F25" s="1" t="s">
        <v>292</v>
      </c>
      <c r="G25" s="1"/>
      <c r="H25" s="1"/>
      <c r="I25" s="1"/>
      <c r="J25" s="1"/>
      <c r="K25" s="1"/>
      <c r="L25" s="1" t="s">
        <v>292</v>
      </c>
      <c r="M25" s="1" t="s">
        <v>293</v>
      </c>
    </row>
    <row r="26" spans="1:13" x14ac:dyDescent="0.25">
      <c r="A26" s="17">
        <v>3</v>
      </c>
      <c r="B26" s="1" t="s">
        <v>295</v>
      </c>
      <c r="C26" s="1"/>
      <c r="D26" s="1" t="s">
        <v>272</v>
      </c>
      <c r="E26" s="1" t="s">
        <v>296</v>
      </c>
      <c r="F26" s="1" t="s">
        <v>272</v>
      </c>
      <c r="G26" s="1" t="s">
        <v>272</v>
      </c>
      <c r="H26" s="1"/>
      <c r="I26" s="1" t="s">
        <v>272</v>
      </c>
      <c r="J26" s="1" t="s">
        <v>272</v>
      </c>
      <c r="K26" s="1"/>
      <c r="L26" s="1" t="s">
        <v>292</v>
      </c>
      <c r="M26" s="1" t="s">
        <v>293</v>
      </c>
    </row>
    <row r="27" spans="1:13" x14ac:dyDescent="0.25">
      <c r="A27" s="17">
        <v>4</v>
      </c>
      <c r="B27" s="1" t="s">
        <v>297</v>
      </c>
      <c r="C27" s="1"/>
      <c r="D27" s="1" t="s">
        <v>272</v>
      </c>
      <c r="E27" s="1" t="s">
        <v>272</v>
      </c>
      <c r="F27" s="1" t="s">
        <v>272</v>
      </c>
      <c r="G27" s="1" t="s">
        <v>272</v>
      </c>
      <c r="H27" s="1" t="s">
        <v>272</v>
      </c>
      <c r="I27" s="1" t="s">
        <v>272</v>
      </c>
      <c r="J27" s="1" t="s">
        <v>272</v>
      </c>
      <c r="K27" s="1" t="s">
        <v>272</v>
      </c>
      <c r="L27" s="1" t="s">
        <v>284</v>
      </c>
      <c r="M27" s="1" t="s">
        <v>284</v>
      </c>
    </row>
    <row r="28" spans="1:13" x14ac:dyDescent="0.25">
      <c r="A28" s="17">
        <v>5</v>
      </c>
      <c r="B28" s="1" t="s">
        <v>298</v>
      </c>
      <c r="C28" s="1"/>
      <c r="D28" s="1" t="s">
        <v>272</v>
      </c>
      <c r="E28" s="1" t="s">
        <v>272</v>
      </c>
      <c r="F28" s="1" t="s">
        <v>272</v>
      </c>
      <c r="G28" s="1" t="s">
        <v>272</v>
      </c>
      <c r="H28" s="1" t="s">
        <v>272</v>
      </c>
      <c r="I28" s="1" t="s">
        <v>272</v>
      </c>
      <c r="J28" s="1" t="s">
        <v>272</v>
      </c>
      <c r="K28" s="1" t="s">
        <v>272</v>
      </c>
      <c r="L28" s="1" t="s">
        <v>284</v>
      </c>
      <c r="M28" s="1" t="s">
        <v>284</v>
      </c>
    </row>
    <row r="29" spans="1:13" x14ac:dyDescent="0.25">
      <c r="A29" s="17">
        <v>6</v>
      </c>
      <c r="B29" s="1" t="s">
        <v>299</v>
      </c>
      <c r="C29" s="1"/>
      <c r="D29" s="1" t="s">
        <v>292</v>
      </c>
      <c r="E29" s="1" t="s">
        <v>292</v>
      </c>
      <c r="F29" s="1" t="s">
        <v>272</v>
      </c>
      <c r="G29" s="1"/>
      <c r="H29" s="1"/>
      <c r="I29" s="1" t="s">
        <v>272</v>
      </c>
      <c r="J29" s="1" t="s">
        <v>292</v>
      </c>
      <c r="K29" s="1"/>
      <c r="L29" s="1" t="s">
        <v>284</v>
      </c>
      <c r="M29" s="1" t="s">
        <v>284</v>
      </c>
    </row>
    <row r="30" spans="1:13" x14ac:dyDescent="0.25">
      <c r="B30" s="1" t="s">
        <v>290</v>
      </c>
      <c r="C30" s="1"/>
      <c r="D30" s="1"/>
      <c r="E30" s="1"/>
      <c r="F30" s="1"/>
      <c r="G30" s="1"/>
      <c r="H30" s="1"/>
      <c r="I30" s="1"/>
      <c r="J30" s="1"/>
      <c r="K30" s="1"/>
      <c r="L30" s="1"/>
      <c r="M30" s="1"/>
    </row>
    <row r="31" spans="1:13" x14ac:dyDescent="0.25">
      <c r="A31" s="17">
        <v>4</v>
      </c>
      <c r="B31" s="1" t="s">
        <v>300</v>
      </c>
      <c r="C31" s="1"/>
      <c r="D31" s="1" t="s">
        <v>272</v>
      </c>
      <c r="E31" s="1" t="s">
        <v>272</v>
      </c>
      <c r="F31" s="1" t="s">
        <v>272</v>
      </c>
      <c r="G31" s="1" t="s">
        <v>272</v>
      </c>
      <c r="H31" s="1"/>
      <c r="I31" s="1" t="s">
        <v>301</v>
      </c>
      <c r="J31" s="1" t="s">
        <v>272</v>
      </c>
      <c r="K31" s="1"/>
      <c r="L31" s="1" t="s">
        <v>284</v>
      </c>
      <c r="M31" s="1" t="s">
        <v>293</v>
      </c>
    </row>
    <row r="32" spans="1:13" x14ac:dyDescent="0.25">
      <c r="A32" s="17">
        <v>5</v>
      </c>
      <c r="B32" s="1" t="s">
        <v>302</v>
      </c>
      <c r="C32" s="1"/>
      <c r="D32" s="1" t="s">
        <v>272</v>
      </c>
      <c r="E32" s="1" t="s">
        <v>272</v>
      </c>
      <c r="F32" s="1" t="s">
        <v>272</v>
      </c>
      <c r="G32" s="1" t="s">
        <v>272</v>
      </c>
      <c r="H32" s="1"/>
      <c r="I32" s="1" t="s">
        <v>301</v>
      </c>
      <c r="J32" s="1" t="s">
        <v>272</v>
      </c>
      <c r="K32" s="1" t="s">
        <v>272</v>
      </c>
      <c r="L32" s="1" t="s">
        <v>284</v>
      </c>
      <c r="M32" s="1" t="s">
        <v>293</v>
      </c>
    </row>
    <row r="33" spans="1:13" x14ac:dyDescent="0.25">
      <c r="A33" s="17">
        <v>6</v>
      </c>
      <c r="B33" s="1" t="s">
        <v>303</v>
      </c>
      <c r="C33" s="1"/>
      <c r="D33" s="1" t="s">
        <v>272</v>
      </c>
      <c r="E33" s="1" t="s">
        <v>272</v>
      </c>
      <c r="F33" s="1" t="s">
        <v>272</v>
      </c>
      <c r="G33" s="1" t="s">
        <v>272</v>
      </c>
      <c r="H33" s="1"/>
      <c r="I33" s="1" t="s">
        <v>301</v>
      </c>
      <c r="J33" s="1" t="s">
        <v>272</v>
      </c>
      <c r="K33" s="1"/>
      <c r="L33" s="1" t="s">
        <v>284</v>
      </c>
      <c r="M33" s="1" t="s">
        <v>284</v>
      </c>
    </row>
    <row r="34" spans="1:13" x14ac:dyDescent="0.25">
      <c r="A34" s="17">
        <v>7</v>
      </c>
      <c r="B34" s="1" t="s">
        <v>304</v>
      </c>
      <c r="C34" s="1"/>
      <c r="D34" s="1" t="s">
        <v>272</v>
      </c>
      <c r="E34" s="1" t="s">
        <v>272</v>
      </c>
      <c r="F34" s="1" t="s">
        <v>272</v>
      </c>
      <c r="G34" s="1"/>
      <c r="H34" s="1"/>
      <c r="I34" s="1" t="s">
        <v>301</v>
      </c>
      <c r="J34" s="1" t="s">
        <v>272</v>
      </c>
      <c r="K34" s="1"/>
      <c r="L34" s="1" t="s">
        <v>284</v>
      </c>
      <c r="M34" s="1" t="s">
        <v>284</v>
      </c>
    </row>
    <row r="35" spans="1:13" x14ac:dyDescent="0.25">
      <c r="B35" s="1" t="s">
        <v>290</v>
      </c>
      <c r="C35" s="1"/>
      <c r="D35" s="1"/>
      <c r="E35" s="1"/>
      <c r="F35" s="1"/>
      <c r="G35" s="1"/>
      <c r="H35" s="1"/>
      <c r="I35" s="1"/>
      <c r="J35" s="1"/>
      <c r="K35" s="1"/>
      <c r="L35" s="1"/>
      <c r="M35" s="1"/>
    </row>
    <row r="36" spans="1:13" x14ac:dyDescent="0.25">
      <c r="A36" s="17">
        <v>8</v>
      </c>
      <c r="B36" s="1" t="s">
        <v>305</v>
      </c>
      <c r="C36" s="1"/>
      <c r="D36" s="1" t="s">
        <v>272</v>
      </c>
      <c r="E36" s="1" t="s">
        <v>272</v>
      </c>
      <c r="F36" s="1"/>
      <c r="G36" s="1"/>
      <c r="H36" s="1"/>
      <c r="I36" s="1" t="s">
        <v>301</v>
      </c>
      <c r="J36" s="1"/>
      <c r="K36" s="1" t="s">
        <v>272</v>
      </c>
      <c r="L36" s="1" t="s">
        <v>290</v>
      </c>
      <c r="M36" s="1" t="s">
        <v>293</v>
      </c>
    </row>
    <row r="37" spans="1:13" x14ac:dyDescent="0.25">
      <c r="A37" s="17">
        <v>9</v>
      </c>
      <c r="B37" s="1" t="s">
        <v>306</v>
      </c>
      <c r="C37" s="1"/>
      <c r="D37" s="1" t="s">
        <v>272</v>
      </c>
      <c r="E37" s="1"/>
      <c r="F37" s="1"/>
      <c r="G37" s="1"/>
      <c r="H37" s="1"/>
      <c r="I37" s="1" t="s">
        <v>301</v>
      </c>
      <c r="J37" s="1"/>
      <c r="K37" s="1"/>
      <c r="L37" s="1" t="s">
        <v>290</v>
      </c>
      <c r="M37" s="1" t="s">
        <v>293</v>
      </c>
    </row>
    <row r="38" spans="1:13" x14ac:dyDescent="0.25">
      <c r="A38" s="17">
        <v>10</v>
      </c>
      <c r="B38" s="1" t="s">
        <v>307</v>
      </c>
      <c r="C38" s="1"/>
      <c r="D38" s="1" t="s">
        <v>272</v>
      </c>
      <c r="E38" s="1" t="s">
        <v>272</v>
      </c>
      <c r="F38" s="1" t="s">
        <v>272</v>
      </c>
      <c r="G38" s="1" t="s">
        <v>272</v>
      </c>
      <c r="H38" s="1"/>
      <c r="I38" s="1" t="s">
        <v>301</v>
      </c>
      <c r="J38" s="1"/>
      <c r="K38" s="1"/>
      <c r="L38" s="1" t="s">
        <v>284</v>
      </c>
      <c r="M38" s="1" t="s">
        <v>284</v>
      </c>
    </row>
    <row r="39" spans="1:13" x14ac:dyDescent="0.25">
      <c r="B39" s="1" t="s">
        <v>290</v>
      </c>
      <c r="C39" s="1"/>
      <c r="D39" s="1"/>
      <c r="E39" s="1"/>
      <c r="F39" s="1"/>
      <c r="G39" s="1"/>
      <c r="H39" s="1"/>
      <c r="I39" s="1"/>
      <c r="J39" s="1"/>
      <c r="K39" s="1"/>
      <c r="L39" s="1"/>
      <c r="M39" s="1"/>
    </row>
    <row r="40" spans="1:13" x14ac:dyDescent="0.25">
      <c r="A40" s="17">
        <v>11</v>
      </c>
      <c r="B40" s="1" t="s">
        <v>308</v>
      </c>
      <c r="C40" s="1"/>
      <c r="D40" s="1" t="s">
        <v>272</v>
      </c>
      <c r="E40" s="1" t="s">
        <v>272</v>
      </c>
      <c r="F40" s="1" t="s">
        <v>272</v>
      </c>
      <c r="G40" s="1" t="s">
        <v>272</v>
      </c>
      <c r="H40" s="1"/>
      <c r="I40" s="1" t="s">
        <v>301</v>
      </c>
      <c r="J40" s="1" t="s">
        <v>272</v>
      </c>
      <c r="K40" s="1"/>
      <c r="L40" s="1" t="s">
        <v>290</v>
      </c>
      <c r="M40" s="1" t="s">
        <v>293</v>
      </c>
    </row>
    <row r="41" spans="1:13" x14ac:dyDescent="0.25">
      <c r="A41" s="17">
        <v>12</v>
      </c>
      <c r="B41" s="1" t="s">
        <v>309</v>
      </c>
      <c r="C41" s="1"/>
      <c r="D41" s="1" t="s">
        <v>272</v>
      </c>
      <c r="E41" s="1" t="s">
        <v>272</v>
      </c>
      <c r="F41" s="1"/>
      <c r="G41" s="1"/>
      <c r="H41" s="1"/>
      <c r="I41" s="1" t="s">
        <v>301</v>
      </c>
      <c r="J41" s="1" t="s">
        <v>272</v>
      </c>
      <c r="K41" s="1"/>
      <c r="L41" s="1" t="s">
        <v>284</v>
      </c>
      <c r="M41" s="1" t="s">
        <v>284</v>
      </c>
    </row>
    <row r="42" spans="1:13" x14ac:dyDescent="0.25">
      <c r="A42" s="17">
        <v>13</v>
      </c>
      <c r="B42" s="1" t="s">
        <v>310</v>
      </c>
      <c r="C42" s="1"/>
      <c r="D42" s="1" t="s">
        <v>272</v>
      </c>
      <c r="E42" s="1" t="s">
        <v>272</v>
      </c>
      <c r="F42" s="1"/>
      <c r="G42" s="1"/>
      <c r="H42" s="1"/>
      <c r="I42" s="1" t="s">
        <v>301</v>
      </c>
      <c r="J42" s="1" t="s">
        <v>272</v>
      </c>
      <c r="K42" s="1"/>
      <c r="L42" s="1" t="s">
        <v>290</v>
      </c>
      <c r="M42" s="1" t="s">
        <v>293</v>
      </c>
    </row>
    <row r="43" spans="1:13" x14ac:dyDescent="0.25">
      <c r="A43" s="17">
        <v>14</v>
      </c>
      <c r="B43" s="1" t="s">
        <v>311</v>
      </c>
      <c r="C43" s="1"/>
      <c r="D43" s="1" t="s">
        <v>272</v>
      </c>
      <c r="E43" s="1" t="s">
        <v>272</v>
      </c>
      <c r="F43" s="1" t="s">
        <v>272</v>
      </c>
      <c r="G43" s="1" t="s">
        <v>272</v>
      </c>
      <c r="H43" s="1"/>
      <c r="I43" s="1" t="s">
        <v>272</v>
      </c>
      <c r="J43" s="1" t="s">
        <v>272</v>
      </c>
      <c r="K43" s="1"/>
      <c r="L43" s="1" t="s">
        <v>284</v>
      </c>
      <c r="M43" s="1" t="s">
        <v>284</v>
      </c>
    </row>
    <row r="44" spans="1:13" x14ac:dyDescent="0.25">
      <c r="A44" s="17">
        <v>15</v>
      </c>
      <c r="B44" s="1" t="s">
        <v>312</v>
      </c>
      <c r="C44" s="1"/>
      <c r="D44" s="1" t="s">
        <v>272</v>
      </c>
      <c r="E44" s="1" t="s">
        <v>272</v>
      </c>
      <c r="F44" s="1" t="s">
        <v>272</v>
      </c>
      <c r="G44" s="1" t="s">
        <v>272</v>
      </c>
      <c r="H44" s="1"/>
      <c r="I44" s="1" t="s">
        <v>272</v>
      </c>
      <c r="J44" s="1" t="s">
        <v>272</v>
      </c>
      <c r="K44" s="1"/>
      <c r="L44" s="1" t="s">
        <v>284</v>
      </c>
      <c r="M44" s="1" t="s">
        <v>284</v>
      </c>
    </row>
    <row r="45" spans="1:13" x14ac:dyDescent="0.25">
      <c r="A45" s="17">
        <v>16</v>
      </c>
      <c r="B45" s="1" t="s">
        <v>313</v>
      </c>
      <c r="C45" s="1"/>
      <c r="D45" s="1" t="s">
        <v>272</v>
      </c>
      <c r="E45" s="1" t="s">
        <v>272</v>
      </c>
      <c r="F45" s="1" t="s">
        <v>272</v>
      </c>
      <c r="G45" s="1" t="s">
        <v>272</v>
      </c>
      <c r="H45" s="1" t="s">
        <v>272</v>
      </c>
      <c r="I45" s="1" t="s">
        <v>272</v>
      </c>
      <c r="J45" s="1" t="s">
        <v>272</v>
      </c>
      <c r="K45" s="1"/>
      <c r="L45" s="1" t="s">
        <v>284</v>
      </c>
      <c r="M45" s="1" t="s">
        <v>284</v>
      </c>
    </row>
    <row r="46" spans="1:13" x14ac:dyDescent="0.25">
      <c r="A46" s="17">
        <v>17</v>
      </c>
      <c r="B46" s="1" t="s">
        <v>314</v>
      </c>
      <c r="C46" s="1"/>
      <c r="D46" s="1" t="s">
        <v>272</v>
      </c>
      <c r="E46" s="1" t="s">
        <v>272</v>
      </c>
      <c r="F46" s="1" t="s">
        <v>272</v>
      </c>
      <c r="G46" s="1" t="s">
        <v>272</v>
      </c>
      <c r="H46" s="1" t="s">
        <v>272</v>
      </c>
      <c r="I46" s="1" t="s">
        <v>272</v>
      </c>
      <c r="J46" s="1" t="s">
        <v>272</v>
      </c>
      <c r="K46" s="1" t="s">
        <v>272</v>
      </c>
      <c r="L46" s="1" t="s">
        <v>284</v>
      </c>
      <c r="M46" s="1" t="s">
        <v>284</v>
      </c>
    </row>
    <row r="47" spans="1:13" x14ac:dyDescent="0.25">
      <c r="B47" s="15" t="s">
        <v>315</v>
      </c>
      <c r="C47" s="1"/>
      <c r="D47" s="1"/>
      <c r="E47" s="1"/>
      <c r="F47" s="1"/>
      <c r="G47" s="1"/>
      <c r="H47" s="1"/>
      <c r="I47" s="1"/>
      <c r="J47" s="1"/>
      <c r="K47" s="1"/>
      <c r="L47" s="1"/>
      <c r="M47" s="1"/>
    </row>
    <row r="48" spans="1:13" x14ac:dyDescent="0.25">
      <c r="A48" s="17">
        <v>1</v>
      </c>
      <c r="B48" s="1" t="s">
        <v>316</v>
      </c>
      <c r="C48" s="1"/>
      <c r="D48" s="1"/>
      <c r="E48" s="1"/>
      <c r="F48" s="1"/>
      <c r="G48" s="1"/>
      <c r="H48" s="1" t="s">
        <v>317</v>
      </c>
      <c r="I48" s="1"/>
      <c r="J48" s="1"/>
      <c r="K48" s="1"/>
      <c r="L48" s="1" t="s">
        <v>290</v>
      </c>
      <c r="M48" s="1" t="s">
        <v>293</v>
      </c>
    </row>
    <row r="49" spans="1:13" x14ac:dyDescent="0.25">
      <c r="A49" s="17">
        <v>2</v>
      </c>
      <c r="B49" s="1" t="s">
        <v>318</v>
      </c>
      <c r="C49" s="1"/>
      <c r="D49" s="1"/>
      <c r="E49" s="1"/>
      <c r="F49" s="1"/>
      <c r="G49" s="1"/>
      <c r="H49" s="1" t="s">
        <v>317</v>
      </c>
      <c r="I49" s="1"/>
      <c r="J49" s="1"/>
      <c r="K49" s="1"/>
      <c r="L49" s="1" t="s">
        <v>290</v>
      </c>
      <c r="M49" s="1" t="s">
        <v>293</v>
      </c>
    </row>
    <row r="50" spans="1:13" x14ac:dyDescent="0.25">
      <c r="A50" s="17">
        <v>3</v>
      </c>
      <c r="B50" s="1" t="s">
        <v>319</v>
      </c>
      <c r="C50" s="1"/>
      <c r="D50" s="1" t="s">
        <v>272</v>
      </c>
      <c r="E50" s="1" t="s">
        <v>272</v>
      </c>
      <c r="F50" s="1" t="s">
        <v>272</v>
      </c>
      <c r="G50" s="1" t="s">
        <v>272</v>
      </c>
      <c r="H50" s="1" t="s">
        <v>317</v>
      </c>
      <c r="I50" s="1" t="s">
        <v>272</v>
      </c>
      <c r="J50" s="1" t="s">
        <v>272</v>
      </c>
      <c r="K50" s="1" t="s">
        <v>272</v>
      </c>
      <c r="L50" s="1" t="s">
        <v>290</v>
      </c>
      <c r="M50" s="1" t="s">
        <v>293</v>
      </c>
    </row>
    <row r="51" spans="1:13" x14ac:dyDescent="0.25">
      <c r="A51" s="17">
        <v>4</v>
      </c>
      <c r="B51" s="1" t="s">
        <v>320</v>
      </c>
      <c r="C51" s="1"/>
      <c r="D51" s="1" t="s">
        <v>272</v>
      </c>
      <c r="E51" s="1" t="s">
        <v>272</v>
      </c>
      <c r="F51" s="1" t="s">
        <v>272</v>
      </c>
      <c r="G51" s="1" t="s">
        <v>272</v>
      </c>
      <c r="H51" s="1"/>
      <c r="I51" s="1" t="s">
        <v>301</v>
      </c>
      <c r="J51" s="1"/>
      <c r="K51" s="1"/>
      <c r="L51" s="1" t="s">
        <v>290</v>
      </c>
      <c r="M51" s="1" t="s">
        <v>293</v>
      </c>
    </row>
    <row r="52" spans="1:13" x14ac:dyDescent="0.25">
      <c r="B52" s="15" t="s">
        <v>321</v>
      </c>
      <c r="C52" s="1"/>
      <c r="D52" s="1"/>
      <c r="E52" s="1"/>
      <c r="F52" s="1"/>
      <c r="G52" s="1"/>
      <c r="H52" s="1"/>
      <c r="I52" s="1"/>
      <c r="J52" s="1"/>
      <c r="K52" s="1"/>
      <c r="L52" s="1"/>
      <c r="M52" s="1"/>
    </row>
    <row r="53" spans="1:13" x14ac:dyDescent="0.25">
      <c r="A53" s="17">
        <v>1</v>
      </c>
      <c r="B53" s="1" t="s">
        <v>322</v>
      </c>
      <c r="C53" s="1"/>
      <c r="D53" s="1" t="s">
        <v>272</v>
      </c>
      <c r="E53" s="1" t="s">
        <v>272</v>
      </c>
      <c r="F53" s="1" t="s">
        <v>272</v>
      </c>
      <c r="G53" s="1" t="s">
        <v>272</v>
      </c>
      <c r="H53" s="1" t="s">
        <v>317</v>
      </c>
      <c r="I53" s="1" t="s">
        <v>301</v>
      </c>
      <c r="J53" s="1" t="s">
        <v>272</v>
      </c>
      <c r="K53" s="1"/>
      <c r="L53" s="1" t="s">
        <v>284</v>
      </c>
      <c r="M53" s="1" t="s">
        <v>284</v>
      </c>
    </row>
    <row r="54" spans="1:13" x14ac:dyDescent="0.25">
      <c r="A54" s="17">
        <v>2</v>
      </c>
      <c r="B54" s="1" t="s">
        <v>323</v>
      </c>
      <c r="C54" s="1"/>
      <c r="D54" s="1" t="s">
        <v>272</v>
      </c>
      <c r="E54" s="1" t="s">
        <v>272</v>
      </c>
      <c r="F54" s="1" t="s">
        <v>272</v>
      </c>
      <c r="G54" s="1" t="s">
        <v>272</v>
      </c>
      <c r="H54" s="1"/>
      <c r="I54" s="1" t="s">
        <v>301</v>
      </c>
      <c r="J54" s="1"/>
      <c r="K54" s="1"/>
      <c r="L54" s="1" t="s">
        <v>290</v>
      </c>
      <c r="M54" s="1" t="s">
        <v>293</v>
      </c>
    </row>
    <row r="55" spans="1:13" x14ac:dyDescent="0.25">
      <c r="A55" s="17">
        <v>3</v>
      </c>
      <c r="B55" s="1" t="s">
        <v>324</v>
      </c>
      <c r="C55" s="1"/>
      <c r="D55" s="1" t="s">
        <v>272</v>
      </c>
      <c r="E55" s="1" t="s">
        <v>272</v>
      </c>
      <c r="F55" s="1" t="s">
        <v>272</v>
      </c>
      <c r="G55" s="1" t="s">
        <v>272</v>
      </c>
      <c r="H55" s="1" t="s">
        <v>317</v>
      </c>
      <c r="I55" s="1" t="s">
        <v>301</v>
      </c>
      <c r="J55" s="1" t="s">
        <v>272</v>
      </c>
      <c r="K55" s="1"/>
      <c r="L55" s="1" t="s">
        <v>290</v>
      </c>
      <c r="M55" s="1" t="s">
        <v>293</v>
      </c>
    </row>
    <row r="56" spans="1:13" x14ac:dyDescent="0.25">
      <c r="A56" s="17">
        <v>4</v>
      </c>
      <c r="B56" s="1" t="s">
        <v>325</v>
      </c>
      <c r="C56" s="1"/>
      <c r="D56" s="1" t="s">
        <v>272</v>
      </c>
      <c r="E56" s="1" t="s">
        <v>272</v>
      </c>
      <c r="F56" s="1" t="s">
        <v>272</v>
      </c>
      <c r="G56" s="1" t="s">
        <v>272</v>
      </c>
      <c r="H56" s="1"/>
      <c r="I56" s="1" t="s">
        <v>301</v>
      </c>
      <c r="J56" s="1"/>
      <c r="K56" s="1"/>
      <c r="L56" s="1" t="s">
        <v>290</v>
      </c>
      <c r="M56" s="1" t="s">
        <v>293</v>
      </c>
    </row>
    <row r="57" spans="1:13" x14ac:dyDescent="0.25">
      <c r="B57" s="15" t="s">
        <v>326</v>
      </c>
      <c r="C57" s="1"/>
      <c r="D57" s="1"/>
      <c r="E57" s="1"/>
      <c r="F57" s="1"/>
      <c r="G57" s="1"/>
      <c r="H57" s="1"/>
      <c r="I57" s="1"/>
      <c r="J57" s="1"/>
      <c r="K57" s="1"/>
      <c r="L57" s="1"/>
      <c r="M57" s="1"/>
    </row>
    <row r="58" spans="1:13" x14ac:dyDescent="0.25">
      <c r="A58" s="17">
        <v>1</v>
      </c>
      <c r="B58" s="1" t="s">
        <v>327</v>
      </c>
      <c r="C58" s="1"/>
      <c r="D58" s="1" t="s">
        <v>296</v>
      </c>
      <c r="E58" s="1" t="s">
        <v>272</v>
      </c>
      <c r="F58" s="1" t="s">
        <v>272</v>
      </c>
      <c r="G58" s="1" t="s">
        <v>272</v>
      </c>
      <c r="H58" s="1"/>
      <c r="I58" s="1" t="s">
        <v>301</v>
      </c>
      <c r="J58" s="1" t="s">
        <v>272</v>
      </c>
      <c r="K58" s="1"/>
      <c r="L58" s="1" t="s">
        <v>284</v>
      </c>
      <c r="M58" s="1" t="s">
        <v>284</v>
      </c>
    </row>
    <row r="59" spans="1:13" x14ac:dyDescent="0.25">
      <c r="A59" s="17">
        <v>2</v>
      </c>
      <c r="B59" s="1" t="s">
        <v>328</v>
      </c>
      <c r="C59" s="1"/>
      <c r="D59" s="1" t="s">
        <v>272</v>
      </c>
      <c r="E59" s="1" t="s">
        <v>272</v>
      </c>
      <c r="F59" s="1"/>
      <c r="G59" s="1"/>
      <c r="H59" s="1"/>
      <c r="I59" s="1" t="s">
        <v>301</v>
      </c>
      <c r="J59" s="1" t="s">
        <v>272</v>
      </c>
      <c r="K59" s="1"/>
      <c r="L59" s="1" t="s">
        <v>284</v>
      </c>
      <c r="M59" s="1" t="s">
        <v>284</v>
      </c>
    </row>
    <row r="60" spans="1:13" x14ac:dyDescent="0.25">
      <c r="B60" s="15" t="s">
        <v>329</v>
      </c>
      <c r="C60" s="1"/>
      <c r="D60" s="1"/>
      <c r="E60" s="1"/>
      <c r="F60" s="1"/>
      <c r="G60" s="1"/>
      <c r="H60" s="1"/>
      <c r="I60" s="1"/>
      <c r="J60" s="1"/>
      <c r="K60" s="1"/>
      <c r="L60" s="1"/>
      <c r="M60" s="1"/>
    </row>
    <row r="61" spans="1:13" x14ac:dyDescent="0.25">
      <c r="A61" s="17">
        <v>1</v>
      </c>
      <c r="B61" s="1" t="s">
        <v>330</v>
      </c>
      <c r="C61" s="1"/>
      <c r="D61" s="1" t="s">
        <v>272</v>
      </c>
      <c r="E61" s="1" t="s">
        <v>272</v>
      </c>
      <c r="F61" s="1" t="s">
        <v>272</v>
      </c>
      <c r="G61" s="1" t="s">
        <v>272</v>
      </c>
      <c r="H61" s="1" t="s">
        <v>272</v>
      </c>
      <c r="I61" s="1" t="s">
        <v>272</v>
      </c>
      <c r="J61" s="1" t="s">
        <v>272</v>
      </c>
      <c r="K61" s="1" t="s">
        <v>272</v>
      </c>
      <c r="L61" s="1" t="s">
        <v>284</v>
      </c>
      <c r="M61" s="1" t="s">
        <v>284</v>
      </c>
    </row>
    <row r="62" spans="1:13" x14ac:dyDescent="0.25">
      <c r="A62" s="17">
        <v>2</v>
      </c>
      <c r="B62" s="1" t="s">
        <v>331</v>
      </c>
      <c r="C62" s="1"/>
      <c r="D62" s="1"/>
      <c r="E62" s="1"/>
      <c r="F62" s="1"/>
      <c r="G62" s="1"/>
      <c r="H62" s="1"/>
      <c r="I62" s="1" t="s">
        <v>272</v>
      </c>
      <c r="J62" s="1"/>
      <c r="K62" s="1"/>
      <c r="L62" s="1" t="s">
        <v>284</v>
      </c>
      <c r="M62" s="1" t="s">
        <v>284</v>
      </c>
    </row>
    <row r="63" spans="1:13" x14ac:dyDescent="0.25">
      <c r="A63" s="17">
        <v>3</v>
      </c>
      <c r="B63" s="1" t="s">
        <v>332</v>
      </c>
      <c r="C63" s="1"/>
      <c r="D63" s="1"/>
      <c r="E63" s="1"/>
      <c r="F63" s="1"/>
      <c r="G63" s="1"/>
      <c r="H63" s="1"/>
      <c r="I63" s="1" t="s">
        <v>272</v>
      </c>
      <c r="J63" s="1"/>
      <c r="K63" s="1"/>
      <c r="L63" s="1" t="s">
        <v>284</v>
      </c>
      <c r="M63" s="1" t="s">
        <v>284</v>
      </c>
    </row>
    <row r="64" spans="1:13" x14ac:dyDescent="0.25">
      <c r="A64" s="17">
        <v>4</v>
      </c>
      <c r="B64" s="1" t="s">
        <v>333</v>
      </c>
      <c r="C64" s="1"/>
      <c r="D64" s="1"/>
      <c r="E64" s="1"/>
      <c r="F64" s="1"/>
      <c r="G64" s="1"/>
      <c r="H64" s="1"/>
      <c r="I64" s="1" t="s">
        <v>301</v>
      </c>
      <c r="J64" s="1"/>
      <c r="K64" s="1" t="s">
        <v>301</v>
      </c>
      <c r="L64" s="1" t="s">
        <v>290</v>
      </c>
      <c r="M64" s="1" t="s">
        <v>293</v>
      </c>
    </row>
    <row r="65" spans="1:13" x14ac:dyDescent="0.25">
      <c r="B65" s="15" t="s">
        <v>334</v>
      </c>
      <c r="C65" s="1"/>
      <c r="D65" s="1"/>
      <c r="E65" s="1"/>
      <c r="F65" s="1"/>
      <c r="G65" s="1"/>
      <c r="H65" s="1"/>
      <c r="I65" s="1"/>
      <c r="J65" s="1"/>
      <c r="K65" s="1"/>
      <c r="L65" s="1"/>
      <c r="M65" s="1"/>
    </row>
    <row r="66" spans="1:13" x14ac:dyDescent="0.25">
      <c r="A66" s="17">
        <v>1</v>
      </c>
      <c r="B66" s="1" t="s">
        <v>335</v>
      </c>
      <c r="C66" s="1"/>
      <c r="D66" s="1"/>
      <c r="E66" s="1"/>
      <c r="F66" s="1"/>
      <c r="G66" s="1"/>
      <c r="H66" s="1" t="s">
        <v>272</v>
      </c>
      <c r="I66" s="1"/>
      <c r="J66" s="1"/>
      <c r="K66" s="1"/>
      <c r="L66" s="1" t="s">
        <v>284</v>
      </c>
      <c r="M66" s="1" t="s">
        <v>284</v>
      </c>
    </row>
    <row r="67" spans="1:13" x14ac:dyDescent="0.25">
      <c r="A67" s="17">
        <v>2</v>
      </c>
      <c r="B67" s="1" t="s">
        <v>336</v>
      </c>
      <c r="C67" s="1"/>
      <c r="D67" s="1"/>
      <c r="E67" s="1"/>
      <c r="F67" s="1"/>
      <c r="G67" s="1"/>
      <c r="H67" s="1" t="s">
        <v>272</v>
      </c>
      <c r="I67" s="1"/>
      <c r="J67" s="1"/>
      <c r="K67" s="1"/>
      <c r="L67" s="1" t="s">
        <v>284</v>
      </c>
      <c r="M67" s="1" t="s">
        <v>284</v>
      </c>
    </row>
    <row r="68" spans="1:13" x14ac:dyDescent="0.25">
      <c r="A68" s="17">
        <v>3</v>
      </c>
      <c r="B68" s="1" t="s">
        <v>337</v>
      </c>
      <c r="C68" s="1"/>
      <c r="D68" s="1"/>
      <c r="E68" s="1"/>
      <c r="F68" s="1"/>
      <c r="G68" s="1"/>
      <c r="H68" s="1" t="s">
        <v>272</v>
      </c>
      <c r="I68" s="1"/>
      <c r="J68" s="1"/>
      <c r="K68" s="1"/>
      <c r="L68" s="1" t="s">
        <v>338</v>
      </c>
      <c r="M68" s="1" t="s">
        <v>338</v>
      </c>
    </row>
    <row r="69" spans="1:13" x14ac:dyDescent="0.25">
      <c r="A69" s="17">
        <v>4</v>
      </c>
      <c r="B69" s="1" t="s">
        <v>339</v>
      </c>
      <c r="C69" s="1"/>
      <c r="D69" s="1"/>
      <c r="E69" s="1"/>
      <c r="F69" s="1"/>
      <c r="G69" s="1"/>
      <c r="H69" s="1" t="s">
        <v>272</v>
      </c>
      <c r="I69" s="1"/>
      <c r="J69" s="1"/>
      <c r="K69" s="1"/>
      <c r="L69" s="1" t="s">
        <v>338</v>
      </c>
      <c r="M69" s="1" t="s">
        <v>338</v>
      </c>
    </row>
    <row r="70" spans="1:13" x14ac:dyDescent="0.25">
      <c r="A70" s="17">
        <v>5</v>
      </c>
      <c r="B70" s="1" t="s">
        <v>340</v>
      </c>
      <c r="C70" s="1"/>
      <c r="D70" s="1"/>
      <c r="E70" s="1"/>
      <c r="F70" s="1"/>
      <c r="G70" s="1"/>
      <c r="H70" s="1" t="s">
        <v>272</v>
      </c>
      <c r="I70" s="1"/>
      <c r="J70" s="1"/>
      <c r="K70" s="1"/>
      <c r="L70" s="1" t="s">
        <v>338</v>
      </c>
      <c r="M70" s="1" t="s">
        <v>338</v>
      </c>
    </row>
    <row r="71" spans="1:13" x14ac:dyDescent="0.25">
      <c r="A71" s="17">
        <v>6</v>
      </c>
      <c r="B71" s="1" t="s">
        <v>341</v>
      </c>
      <c r="C71" s="1"/>
      <c r="D71" s="1"/>
      <c r="E71" s="1"/>
      <c r="F71" s="1"/>
      <c r="G71" s="1"/>
      <c r="H71" s="1" t="s">
        <v>272</v>
      </c>
      <c r="I71" s="1"/>
      <c r="J71" s="1"/>
      <c r="K71" s="1"/>
      <c r="L71" s="1" t="s">
        <v>338</v>
      </c>
      <c r="M71" s="1" t="s">
        <v>338</v>
      </c>
    </row>
    <row r="72" spans="1:13" x14ac:dyDescent="0.25">
      <c r="A72" s="17">
        <v>7</v>
      </c>
      <c r="B72" s="1" t="s">
        <v>342</v>
      </c>
      <c r="C72" s="1"/>
      <c r="D72" s="1"/>
      <c r="E72" s="1"/>
      <c r="F72" s="1"/>
      <c r="G72" s="1"/>
      <c r="H72" s="1" t="s">
        <v>272</v>
      </c>
      <c r="I72" s="1"/>
      <c r="J72" s="1"/>
      <c r="K72" s="1"/>
      <c r="L72" s="1" t="s">
        <v>338</v>
      </c>
      <c r="M72" s="1" t="s">
        <v>338</v>
      </c>
    </row>
    <row r="73" spans="1:13" x14ac:dyDescent="0.25">
      <c r="A73" s="17">
        <v>8</v>
      </c>
      <c r="B73" s="1" t="s">
        <v>343</v>
      </c>
      <c r="C73" s="1"/>
      <c r="D73" s="1"/>
      <c r="E73" s="1"/>
      <c r="F73" s="1"/>
      <c r="G73" s="1"/>
      <c r="H73" s="1" t="s">
        <v>272</v>
      </c>
      <c r="I73" s="1"/>
      <c r="J73" s="1"/>
      <c r="K73" s="1"/>
      <c r="L73" s="1" t="s">
        <v>338</v>
      </c>
      <c r="M73" s="1" t="s">
        <v>338</v>
      </c>
    </row>
    <row r="75" spans="1:13" ht="120" x14ac:dyDescent="0.25">
      <c r="A75"/>
      <c r="B75" s="18" t="s">
        <v>344</v>
      </c>
    </row>
    <row r="76" spans="1:13" x14ac:dyDescent="0.25">
      <c r="A76"/>
      <c r="B76" s="19"/>
    </row>
    <row r="77" spans="1:13" ht="225" x14ac:dyDescent="0.25">
      <c r="A77"/>
      <c r="B77" s="18" t="s">
        <v>345</v>
      </c>
    </row>
  </sheetData>
  <mergeCells count="13">
    <mergeCell ref="F20:F21"/>
    <mergeCell ref="A4:A6"/>
    <mergeCell ref="A20:A21"/>
    <mergeCell ref="C20:C21"/>
    <mergeCell ref="D20:D21"/>
    <mergeCell ref="E20:E21"/>
    <mergeCell ref="M20:M21"/>
    <mergeCell ref="G20:G21"/>
    <mergeCell ref="H20:H21"/>
    <mergeCell ref="I20:I21"/>
    <mergeCell ref="J20:J21"/>
    <mergeCell ref="K20:K21"/>
    <mergeCell ref="L20:L21"/>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8242C-5366-40EF-8287-F9CA021828A4}">
  <dimension ref="A2:I22"/>
  <sheetViews>
    <sheetView workbookViewId="0"/>
  </sheetViews>
  <sheetFormatPr defaultRowHeight="15" x14ac:dyDescent="0.25"/>
  <cols>
    <col min="1" max="1" width="49" bestFit="1" customWidth="1"/>
    <col min="2" max="3" width="18.7109375" bestFit="1" customWidth="1"/>
    <col min="4" max="5" width="7.7109375" bestFit="1" customWidth="1"/>
    <col min="6" max="6" width="11.5703125" bestFit="1" customWidth="1"/>
    <col min="7" max="7" width="15.7109375" bestFit="1" customWidth="1"/>
    <col min="8" max="9" width="16.7109375" bestFit="1" customWidth="1"/>
  </cols>
  <sheetData>
    <row r="2" spans="1:9" x14ac:dyDescent="0.25">
      <c r="A2" s="393" t="s">
        <v>346</v>
      </c>
      <c r="B2" s="15" t="s">
        <v>347</v>
      </c>
      <c r="C2" s="15" t="s">
        <v>350</v>
      </c>
      <c r="D2" s="15" t="s">
        <v>352</v>
      </c>
      <c r="E2" s="15" t="s">
        <v>355</v>
      </c>
      <c r="F2" s="15" t="s">
        <v>356</v>
      </c>
      <c r="G2" s="15" t="s">
        <v>359</v>
      </c>
      <c r="H2" s="15" t="s">
        <v>362</v>
      </c>
      <c r="I2" s="15" t="s">
        <v>364</v>
      </c>
    </row>
    <row r="3" spans="1:9" x14ac:dyDescent="0.25">
      <c r="A3" s="393"/>
      <c r="B3" s="15" t="s">
        <v>348</v>
      </c>
      <c r="C3" s="15" t="s">
        <v>351</v>
      </c>
      <c r="D3" s="15" t="s">
        <v>353</v>
      </c>
      <c r="E3" s="15" t="s">
        <v>249</v>
      </c>
      <c r="F3" s="15" t="s">
        <v>357</v>
      </c>
      <c r="G3" s="15" t="s">
        <v>360</v>
      </c>
      <c r="H3" s="15" t="s">
        <v>353</v>
      </c>
      <c r="I3" s="15" t="s">
        <v>365</v>
      </c>
    </row>
    <row r="4" spans="1:9" x14ac:dyDescent="0.25">
      <c r="A4" s="393"/>
      <c r="B4" s="15" t="s">
        <v>349</v>
      </c>
      <c r="C4" s="15" t="s">
        <v>349</v>
      </c>
      <c r="D4" s="15" t="s">
        <v>354</v>
      </c>
      <c r="E4" s="15" t="s">
        <v>354</v>
      </c>
      <c r="F4" s="15" t="s">
        <v>358</v>
      </c>
      <c r="G4" s="15" t="s">
        <v>361</v>
      </c>
      <c r="H4" s="15" t="s">
        <v>363</v>
      </c>
      <c r="I4" s="15" t="s">
        <v>363</v>
      </c>
    </row>
    <row r="5" spans="1:9" x14ac:dyDescent="0.25">
      <c r="A5" s="1" t="s">
        <v>366</v>
      </c>
      <c r="B5" s="1" t="s">
        <v>367</v>
      </c>
      <c r="C5" s="1"/>
      <c r="D5" s="1"/>
      <c r="E5" s="1"/>
      <c r="F5" s="1"/>
      <c r="G5" s="1"/>
      <c r="H5" s="1"/>
      <c r="I5" s="1"/>
    </row>
    <row r="6" spans="1:9" x14ac:dyDescent="0.25">
      <c r="A6" s="1" t="s">
        <v>290</v>
      </c>
      <c r="B6" s="1"/>
      <c r="C6" s="1"/>
      <c r="D6" s="1"/>
      <c r="E6" s="1"/>
      <c r="F6" s="1"/>
      <c r="G6" s="1"/>
      <c r="H6" s="1"/>
      <c r="I6" s="1"/>
    </row>
    <row r="7" spans="1:9" x14ac:dyDescent="0.25">
      <c r="A7" s="1" t="s">
        <v>368</v>
      </c>
      <c r="B7" s="1" t="s">
        <v>272</v>
      </c>
      <c r="C7" s="1" t="s">
        <v>272</v>
      </c>
      <c r="D7" s="1" t="s">
        <v>272</v>
      </c>
      <c r="E7" s="1" t="s">
        <v>272</v>
      </c>
      <c r="F7" s="1" t="s">
        <v>272</v>
      </c>
      <c r="G7" s="1" t="s">
        <v>272</v>
      </c>
      <c r="H7" s="1" t="s">
        <v>272</v>
      </c>
      <c r="I7" s="1"/>
    </row>
    <row r="8" spans="1:9" x14ac:dyDescent="0.25">
      <c r="A8" s="1" t="s">
        <v>369</v>
      </c>
      <c r="B8" s="1" t="s">
        <v>272</v>
      </c>
      <c r="C8" s="1" t="s">
        <v>272</v>
      </c>
      <c r="D8" s="1" t="s">
        <v>272</v>
      </c>
      <c r="E8" s="1" t="s">
        <v>272</v>
      </c>
      <c r="F8" s="1" t="s">
        <v>272</v>
      </c>
      <c r="G8" s="1" t="s">
        <v>272</v>
      </c>
      <c r="H8" s="1" t="s">
        <v>317</v>
      </c>
      <c r="I8" s="1"/>
    </row>
    <row r="9" spans="1:9" x14ac:dyDescent="0.25">
      <c r="A9" s="1" t="s">
        <v>370</v>
      </c>
      <c r="B9" s="1" t="s">
        <v>272</v>
      </c>
      <c r="C9" s="1" t="s">
        <v>272</v>
      </c>
      <c r="D9" s="1" t="s">
        <v>272</v>
      </c>
      <c r="E9" s="1" t="s">
        <v>272</v>
      </c>
      <c r="F9" s="1" t="s">
        <v>272</v>
      </c>
      <c r="G9" s="1"/>
      <c r="H9" s="1" t="s">
        <v>317</v>
      </c>
      <c r="I9" s="1"/>
    </row>
    <row r="10" spans="1:9" x14ac:dyDescent="0.25">
      <c r="A10" s="1" t="s">
        <v>371</v>
      </c>
      <c r="B10" s="1" t="s">
        <v>272</v>
      </c>
      <c r="C10" s="1" t="s">
        <v>272</v>
      </c>
      <c r="D10" s="1" t="s">
        <v>272</v>
      </c>
      <c r="E10" s="1" t="s">
        <v>272</v>
      </c>
      <c r="F10" s="1" t="s">
        <v>272</v>
      </c>
      <c r="G10" s="1" t="s">
        <v>272</v>
      </c>
      <c r="H10" s="1" t="s">
        <v>317</v>
      </c>
      <c r="I10" s="1"/>
    </row>
    <row r="11" spans="1:9" x14ac:dyDescent="0.25">
      <c r="A11" s="1" t="s">
        <v>372</v>
      </c>
      <c r="B11" s="1" t="s">
        <v>272</v>
      </c>
      <c r="C11" s="1" t="s">
        <v>272</v>
      </c>
      <c r="D11" s="1" t="s">
        <v>272</v>
      </c>
      <c r="E11" s="1" t="s">
        <v>272</v>
      </c>
      <c r="F11" s="1" t="s">
        <v>272</v>
      </c>
      <c r="G11" s="1" t="s">
        <v>272</v>
      </c>
      <c r="H11" s="1" t="s">
        <v>317</v>
      </c>
      <c r="I11" s="1"/>
    </row>
    <row r="12" spans="1:9" x14ac:dyDescent="0.25">
      <c r="A12" s="1" t="s">
        <v>290</v>
      </c>
      <c r="B12" s="1"/>
      <c r="C12" s="1"/>
      <c r="D12" s="1"/>
      <c r="E12" s="1"/>
      <c r="F12" s="1"/>
      <c r="G12" s="1"/>
      <c r="H12" s="1"/>
      <c r="I12" s="1"/>
    </row>
    <row r="13" spans="1:9" ht="60" customHeight="1" x14ac:dyDescent="0.25">
      <c r="A13" s="390" t="s">
        <v>373</v>
      </c>
      <c r="B13" s="390"/>
      <c r="C13" s="390"/>
      <c r="D13" s="390"/>
      <c r="E13" s="390"/>
      <c r="F13" s="390"/>
      <c r="G13" s="390"/>
      <c r="H13" s="1" t="s">
        <v>317</v>
      </c>
      <c r="I13" s="1" t="s">
        <v>317</v>
      </c>
    </row>
    <row r="14" spans="1:9" x14ac:dyDescent="0.25">
      <c r="A14" s="390"/>
      <c r="B14" s="390"/>
      <c r="C14" s="390"/>
      <c r="D14" s="390"/>
      <c r="E14" s="390"/>
      <c r="F14" s="390"/>
      <c r="G14" s="390"/>
      <c r="H14" s="1" t="s">
        <v>374</v>
      </c>
      <c r="I14" s="1" t="s">
        <v>374</v>
      </c>
    </row>
    <row r="15" spans="1:9" x14ac:dyDescent="0.25">
      <c r="A15" s="1" t="s">
        <v>375</v>
      </c>
      <c r="B15" s="1"/>
      <c r="C15" s="1"/>
      <c r="D15" s="1"/>
      <c r="E15" s="1"/>
      <c r="F15" s="1"/>
      <c r="G15" s="1"/>
      <c r="H15" s="1" t="s">
        <v>272</v>
      </c>
      <c r="I15" s="1" t="s">
        <v>272</v>
      </c>
    </row>
    <row r="16" spans="1:9" x14ac:dyDescent="0.25">
      <c r="A16" s="1" t="s">
        <v>376</v>
      </c>
      <c r="B16" s="1"/>
      <c r="C16" s="1"/>
      <c r="D16" s="1"/>
      <c r="E16" s="1"/>
      <c r="F16" s="1"/>
      <c r="G16" s="1"/>
      <c r="H16" s="1" t="s">
        <v>272</v>
      </c>
      <c r="I16" s="1" t="s">
        <v>272</v>
      </c>
    </row>
    <row r="17" spans="1:9" x14ac:dyDescent="0.25">
      <c r="A17" s="1" t="s">
        <v>377</v>
      </c>
      <c r="B17" s="1"/>
      <c r="C17" s="1"/>
      <c r="D17" s="1"/>
      <c r="E17" s="1"/>
      <c r="F17" s="1"/>
      <c r="G17" s="1"/>
      <c r="H17" s="1" t="s">
        <v>272</v>
      </c>
      <c r="I17" s="1" t="s">
        <v>272</v>
      </c>
    </row>
    <row r="18" spans="1:9" x14ac:dyDescent="0.25">
      <c r="A18" s="1" t="s">
        <v>378</v>
      </c>
      <c r="B18" s="1"/>
      <c r="C18" s="1"/>
      <c r="D18" s="1"/>
      <c r="E18" s="1"/>
      <c r="F18" s="1"/>
      <c r="G18" s="1"/>
      <c r="H18" s="1" t="s">
        <v>272</v>
      </c>
      <c r="I18" s="1" t="s">
        <v>272</v>
      </c>
    </row>
    <row r="19" spans="1:9" x14ac:dyDescent="0.25">
      <c r="A19" s="1" t="s">
        <v>379</v>
      </c>
      <c r="B19" s="1"/>
      <c r="C19" s="1"/>
      <c r="D19" s="1"/>
      <c r="E19" s="1"/>
      <c r="F19" s="1"/>
      <c r="G19" s="1"/>
      <c r="H19" s="1" t="s">
        <v>272</v>
      </c>
      <c r="I19" s="1" t="s">
        <v>272</v>
      </c>
    </row>
    <row r="20" spans="1:9" x14ac:dyDescent="0.25">
      <c r="A20" s="1" t="s">
        <v>290</v>
      </c>
      <c r="B20" s="1"/>
      <c r="C20" s="1"/>
      <c r="D20" s="1"/>
      <c r="E20" s="1"/>
      <c r="F20" s="1"/>
      <c r="G20" s="1"/>
      <c r="H20" s="1"/>
      <c r="I20" s="1"/>
    </row>
    <row r="21" spans="1:9" x14ac:dyDescent="0.25">
      <c r="A21" s="1" t="s">
        <v>380</v>
      </c>
      <c r="B21" s="1"/>
      <c r="C21" s="1"/>
      <c r="D21" s="1"/>
      <c r="E21" s="1"/>
      <c r="F21" s="1"/>
      <c r="G21" s="1"/>
      <c r="H21" s="1" t="s">
        <v>272</v>
      </c>
      <c r="I21" s="1" t="s">
        <v>272</v>
      </c>
    </row>
    <row r="22" spans="1:9" x14ac:dyDescent="0.25">
      <c r="A22" s="1" t="s">
        <v>381</v>
      </c>
      <c r="B22" s="1"/>
      <c r="C22" s="1"/>
      <c r="D22" s="1"/>
      <c r="E22" s="1"/>
      <c r="F22" s="1"/>
      <c r="G22" s="1"/>
      <c r="H22" s="1" t="s">
        <v>272</v>
      </c>
      <c r="I22" s="1" t="s">
        <v>272</v>
      </c>
    </row>
  </sheetData>
  <mergeCells count="8">
    <mergeCell ref="F13:F14"/>
    <mergeCell ref="G13:G14"/>
    <mergeCell ref="A2:A4"/>
    <mergeCell ref="A13:A14"/>
    <mergeCell ref="B13:B14"/>
    <mergeCell ref="C13:C14"/>
    <mergeCell ref="D13:D14"/>
    <mergeCell ref="E13:E1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6031-72C5-40F0-82E1-8D750C00AC0D}">
  <dimension ref="A2:F55"/>
  <sheetViews>
    <sheetView workbookViewId="0">
      <selection activeCell="F6" sqref="F6"/>
    </sheetView>
  </sheetViews>
  <sheetFormatPr defaultRowHeight="15" x14ac:dyDescent="0.25"/>
  <cols>
    <col min="1" max="1" width="24" bestFit="1" customWidth="1"/>
    <col min="2" max="2" width="11.140625" bestFit="1" customWidth="1"/>
    <col min="3" max="3" width="20.5703125" bestFit="1" customWidth="1"/>
    <col min="4" max="4" width="12.28515625" bestFit="1" customWidth="1"/>
    <col min="5" max="5" width="57.42578125" style="2" customWidth="1"/>
    <col min="6" max="6" width="28.85546875" style="2" customWidth="1"/>
  </cols>
  <sheetData>
    <row r="2" spans="1:6" x14ac:dyDescent="0.25">
      <c r="A2" s="372" t="s">
        <v>382</v>
      </c>
      <c r="B2" s="372" t="s">
        <v>383</v>
      </c>
      <c r="C2" s="21" t="s">
        <v>384</v>
      </c>
      <c r="D2" s="21" t="s">
        <v>386</v>
      </c>
      <c r="E2" s="394" t="s">
        <v>388</v>
      </c>
      <c r="F2" s="394" t="s">
        <v>389</v>
      </c>
    </row>
    <row r="3" spans="1:6" x14ac:dyDescent="0.25">
      <c r="A3" s="372"/>
      <c r="B3" s="372"/>
      <c r="C3" s="21" t="s">
        <v>385</v>
      </c>
      <c r="D3" s="21" t="s">
        <v>387</v>
      </c>
      <c r="E3" s="394"/>
      <c r="F3" s="394"/>
    </row>
    <row r="4" spans="1:6" ht="30" x14ac:dyDescent="0.25">
      <c r="A4" s="1" t="s">
        <v>390</v>
      </c>
      <c r="B4" s="22">
        <v>3000</v>
      </c>
      <c r="C4" s="1" t="s">
        <v>391</v>
      </c>
      <c r="D4" s="1">
        <v>50</v>
      </c>
      <c r="E4" s="6" t="s">
        <v>392</v>
      </c>
      <c r="F4" s="6" t="s">
        <v>393</v>
      </c>
    </row>
    <row r="5" spans="1:6" ht="30" x14ac:dyDescent="0.25">
      <c r="A5" s="1" t="s">
        <v>394</v>
      </c>
      <c r="B5" s="22">
        <v>30000</v>
      </c>
      <c r="C5" s="1" t="s">
        <v>391</v>
      </c>
      <c r="D5" s="1">
        <v>200</v>
      </c>
      <c r="E5" s="6" t="s">
        <v>395</v>
      </c>
      <c r="F5" s="6" t="s">
        <v>396</v>
      </c>
    </row>
    <row r="6" spans="1:6" ht="30" x14ac:dyDescent="0.25">
      <c r="A6" s="1" t="s">
        <v>397</v>
      </c>
      <c r="B6" s="22">
        <v>200000000</v>
      </c>
      <c r="C6" s="1" t="s">
        <v>398</v>
      </c>
      <c r="D6" s="1" t="s">
        <v>399</v>
      </c>
      <c r="E6" s="6" t="s">
        <v>400</v>
      </c>
      <c r="F6" s="6" t="s">
        <v>396</v>
      </c>
    </row>
    <row r="7" spans="1:6" ht="75" x14ac:dyDescent="0.25">
      <c r="A7" s="1" t="s">
        <v>401</v>
      </c>
      <c r="B7" s="1" t="s">
        <v>402</v>
      </c>
      <c r="C7" s="1" t="s">
        <v>391</v>
      </c>
      <c r="D7" s="1" t="s">
        <v>403</v>
      </c>
      <c r="E7" s="6" t="s">
        <v>404</v>
      </c>
      <c r="F7" s="20" t="s">
        <v>405</v>
      </c>
    </row>
    <row r="8" spans="1:6" ht="75" x14ac:dyDescent="0.25">
      <c r="A8" s="1" t="s">
        <v>406</v>
      </c>
      <c r="B8" s="1" t="s">
        <v>290</v>
      </c>
      <c r="C8" s="1">
        <v>20</v>
      </c>
      <c r="D8" s="1" t="s">
        <v>403</v>
      </c>
      <c r="E8" s="6" t="s">
        <v>407</v>
      </c>
      <c r="F8" s="6" t="s">
        <v>408</v>
      </c>
    </row>
    <row r="9" spans="1:6" ht="30" x14ac:dyDescent="0.25">
      <c r="A9" s="1" t="s">
        <v>409</v>
      </c>
      <c r="B9" s="1" t="s">
        <v>290</v>
      </c>
      <c r="C9" s="1">
        <v>200</v>
      </c>
      <c r="D9" s="1" t="s">
        <v>403</v>
      </c>
      <c r="E9" s="6" t="s">
        <v>410</v>
      </c>
      <c r="F9" s="6" t="s">
        <v>408</v>
      </c>
    </row>
    <row r="10" spans="1:6" ht="45" x14ac:dyDescent="0.25">
      <c r="A10" s="390" t="s">
        <v>411</v>
      </c>
      <c r="B10" s="390" t="s">
        <v>290</v>
      </c>
      <c r="C10" s="390" t="s">
        <v>412</v>
      </c>
      <c r="D10" s="390" t="s">
        <v>290</v>
      </c>
      <c r="E10" s="6" t="s">
        <v>413</v>
      </c>
      <c r="F10" s="20" t="s">
        <v>421</v>
      </c>
    </row>
    <row r="11" spans="1:6" x14ac:dyDescent="0.25">
      <c r="A11" s="390"/>
      <c r="B11" s="390"/>
      <c r="C11" s="390"/>
      <c r="D11" s="390"/>
      <c r="E11" s="6"/>
      <c r="F11" s="6"/>
    </row>
    <row r="12" spans="1:6" ht="105" x14ac:dyDescent="0.25">
      <c r="A12" s="390"/>
      <c r="B12" s="390"/>
      <c r="C12" s="390"/>
      <c r="D12" s="390"/>
      <c r="E12" s="6" t="s">
        <v>414</v>
      </c>
      <c r="F12" s="6" t="s">
        <v>422</v>
      </c>
    </row>
    <row r="13" spans="1:6" x14ac:dyDescent="0.25">
      <c r="A13" s="390"/>
      <c r="B13" s="390"/>
      <c r="C13" s="390"/>
      <c r="D13" s="390"/>
      <c r="E13" s="6"/>
      <c r="F13" s="6"/>
    </row>
    <row r="14" spans="1:6" ht="45" x14ac:dyDescent="0.25">
      <c r="A14" s="390"/>
      <c r="B14" s="390"/>
      <c r="C14" s="390"/>
      <c r="D14" s="390"/>
      <c r="E14" s="6" t="s">
        <v>415</v>
      </c>
      <c r="F14" s="20" t="s">
        <v>423</v>
      </c>
    </row>
    <row r="15" spans="1:6" x14ac:dyDescent="0.25">
      <c r="A15" s="390"/>
      <c r="B15" s="390"/>
      <c r="C15" s="390"/>
      <c r="D15" s="390"/>
      <c r="E15" s="6"/>
      <c r="F15" s="6"/>
    </row>
    <row r="16" spans="1:6" x14ac:dyDescent="0.25">
      <c r="A16" s="390"/>
      <c r="B16" s="390"/>
      <c r="C16" s="390"/>
      <c r="D16" s="390"/>
      <c r="E16" s="23" t="s">
        <v>416</v>
      </c>
      <c r="F16" s="6"/>
    </row>
    <row r="17" spans="1:6" x14ac:dyDescent="0.25">
      <c r="A17" s="390"/>
      <c r="B17" s="390"/>
      <c r="C17" s="390"/>
      <c r="D17" s="390"/>
      <c r="E17" s="14"/>
      <c r="F17" s="6"/>
    </row>
    <row r="18" spans="1:6" ht="75" x14ac:dyDescent="0.25">
      <c r="A18" s="390"/>
      <c r="B18" s="390"/>
      <c r="C18" s="390"/>
      <c r="D18" s="390"/>
      <c r="E18" s="23" t="s">
        <v>417</v>
      </c>
      <c r="F18" s="6"/>
    </row>
    <row r="19" spans="1:6" x14ac:dyDescent="0.25">
      <c r="A19" s="390"/>
      <c r="B19" s="390"/>
      <c r="C19" s="390"/>
      <c r="D19" s="390"/>
      <c r="E19" s="14"/>
      <c r="F19" s="6"/>
    </row>
    <row r="20" spans="1:6" ht="30" x14ac:dyDescent="0.25">
      <c r="A20" s="390"/>
      <c r="B20" s="390"/>
      <c r="C20" s="390"/>
      <c r="D20" s="390"/>
      <c r="E20" s="23" t="s">
        <v>418</v>
      </c>
      <c r="F20" s="6"/>
    </row>
    <row r="21" spans="1:6" x14ac:dyDescent="0.25">
      <c r="A21" s="390"/>
      <c r="B21" s="390"/>
      <c r="C21" s="390"/>
      <c r="D21" s="390"/>
      <c r="E21" s="6"/>
      <c r="F21" s="6"/>
    </row>
    <row r="22" spans="1:6" ht="60" x14ac:dyDescent="0.25">
      <c r="A22" s="390"/>
      <c r="B22" s="390"/>
      <c r="C22" s="390"/>
      <c r="D22" s="390"/>
      <c r="E22" s="6" t="s">
        <v>419</v>
      </c>
      <c r="F22" s="6"/>
    </row>
    <row r="23" spans="1:6" x14ac:dyDescent="0.25">
      <c r="A23" s="390"/>
      <c r="B23" s="390"/>
      <c r="C23" s="390"/>
      <c r="D23" s="390"/>
      <c r="E23" s="6"/>
      <c r="F23" s="6"/>
    </row>
    <row r="24" spans="1:6" x14ac:dyDescent="0.25">
      <c r="A24" s="390"/>
      <c r="B24" s="390"/>
      <c r="C24" s="390"/>
      <c r="D24" s="390"/>
      <c r="E24" s="6" t="s">
        <v>420</v>
      </c>
      <c r="F24" s="6"/>
    </row>
    <row r="27" spans="1:6" x14ac:dyDescent="0.25">
      <c r="A27" t="s">
        <v>424</v>
      </c>
    </row>
    <row r="29" spans="1:6" x14ac:dyDescent="0.25">
      <c r="A29" t="s">
        <v>425</v>
      </c>
    </row>
    <row r="31" spans="1:6" x14ac:dyDescent="0.25">
      <c r="A31" t="s">
        <v>426</v>
      </c>
    </row>
    <row r="33" spans="1:1" x14ac:dyDescent="0.25">
      <c r="A33" t="s">
        <v>427</v>
      </c>
    </row>
    <row r="35" spans="1:1" x14ac:dyDescent="0.25">
      <c r="A35" t="s">
        <v>428</v>
      </c>
    </row>
    <row r="37" spans="1:1" x14ac:dyDescent="0.25">
      <c r="A37" t="s">
        <v>429</v>
      </c>
    </row>
    <row r="39" spans="1:1" x14ac:dyDescent="0.25">
      <c r="A39" t="s">
        <v>430</v>
      </c>
    </row>
    <row r="41" spans="1:1" x14ac:dyDescent="0.25">
      <c r="A41" t="s">
        <v>431</v>
      </c>
    </row>
    <row r="43" spans="1:1" x14ac:dyDescent="0.25">
      <c r="A43" s="24" t="s">
        <v>432</v>
      </c>
    </row>
    <row r="45" spans="1:1" x14ac:dyDescent="0.25">
      <c r="A45" t="s">
        <v>433</v>
      </c>
    </row>
    <row r="47" spans="1:1" x14ac:dyDescent="0.25">
      <c r="A47" t="s">
        <v>434</v>
      </c>
    </row>
    <row r="49" spans="1:1" x14ac:dyDescent="0.25">
      <c r="A49" t="s">
        <v>435</v>
      </c>
    </row>
    <row r="51" spans="1:1" x14ac:dyDescent="0.25">
      <c r="A51" t="s">
        <v>436</v>
      </c>
    </row>
    <row r="53" spans="1:1" x14ac:dyDescent="0.25">
      <c r="A53" t="s">
        <v>437</v>
      </c>
    </row>
    <row r="55" spans="1:1" x14ac:dyDescent="0.25">
      <c r="A55" t="s">
        <v>438</v>
      </c>
    </row>
  </sheetData>
  <mergeCells count="8">
    <mergeCell ref="A2:A3"/>
    <mergeCell ref="B2:B3"/>
    <mergeCell ref="E2:E3"/>
    <mergeCell ref="F2:F3"/>
    <mergeCell ref="A10:A24"/>
    <mergeCell ref="B10:B24"/>
    <mergeCell ref="C10:C24"/>
    <mergeCell ref="D10:D24"/>
  </mergeCells>
  <hyperlinks>
    <hyperlink ref="F7" r:id="rId1" display="https://www.journalofhospitalinfection.com/article/S0195-6701(06)00286-6/fulltext" xr:uid="{F9FA5FA6-A507-4942-8721-77DD51DF6E15}"/>
    <hyperlink ref="F10" r:id="rId2" display="https://www.sciencedaily.com/releases/2020/05/200506133603.htm" xr:uid="{49208DC6-5F88-4B6A-8C60-899C4383829D}"/>
    <hyperlink ref="F14" r:id="rId3" display="https://www.nature.com/articles/s41586-020-2271-3" xr:uid="{CAA208D4-C257-4392-B4A8-4C9C44C38E64}"/>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5707F-B6EE-4D64-A2AE-D60AC0144A6A}">
  <dimension ref="A1:Y38"/>
  <sheetViews>
    <sheetView zoomScale="90" zoomScaleNormal="90" workbookViewId="0"/>
  </sheetViews>
  <sheetFormatPr defaultRowHeight="15" x14ac:dyDescent="0.25"/>
  <cols>
    <col min="1" max="1" width="39.140625" bestFit="1" customWidth="1"/>
    <col min="2" max="2" width="8.42578125" bestFit="1" customWidth="1"/>
    <col min="3" max="3" width="10.85546875" bestFit="1" customWidth="1"/>
    <col min="4" max="4" width="5.140625" bestFit="1" customWidth="1"/>
    <col min="5" max="5" width="7.5703125" bestFit="1" customWidth="1"/>
    <col min="6" max="6" width="10" bestFit="1" customWidth="1"/>
    <col min="7" max="7" width="10.140625" bestFit="1" customWidth="1"/>
    <col min="8" max="8" width="6.5703125" bestFit="1" customWidth="1"/>
    <col min="17" max="17" width="7.140625" bestFit="1" customWidth="1"/>
    <col min="18" max="18" width="8.85546875" bestFit="1" customWidth="1"/>
    <col min="19" max="19" width="10.140625" bestFit="1" customWidth="1"/>
    <col min="20" max="20" width="7.5703125" bestFit="1" customWidth="1"/>
    <col min="21" max="21" width="12.140625" bestFit="1" customWidth="1"/>
    <col min="22" max="22" width="9.85546875" bestFit="1" customWidth="1"/>
    <col min="23" max="23" width="7" bestFit="1" customWidth="1"/>
    <col min="24" max="24" width="4" bestFit="1" customWidth="1"/>
  </cols>
  <sheetData>
    <row r="1" spans="1:23" x14ac:dyDescent="0.25">
      <c r="A1" t="s">
        <v>496</v>
      </c>
      <c r="R1" t="s">
        <v>495</v>
      </c>
    </row>
    <row r="2" spans="1:23" x14ac:dyDescent="0.25">
      <c r="B2" s="395" t="s">
        <v>499</v>
      </c>
      <c r="C2" s="395"/>
      <c r="D2" s="395"/>
      <c r="F2" s="395" t="s">
        <v>500</v>
      </c>
      <c r="G2" s="395"/>
      <c r="H2" s="395"/>
      <c r="R2" s="395" t="s">
        <v>497</v>
      </c>
      <c r="S2" s="395"/>
      <c r="T2" s="395"/>
      <c r="U2" s="395"/>
      <c r="V2" s="33"/>
    </row>
    <row r="3" spans="1:23" ht="15.75" x14ac:dyDescent="0.25">
      <c r="A3" s="25" t="s">
        <v>498</v>
      </c>
      <c r="B3" s="32" t="s">
        <v>455</v>
      </c>
      <c r="C3" s="32" t="s">
        <v>470</v>
      </c>
      <c r="D3" s="32" t="s">
        <v>471</v>
      </c>
      <c r="F3" s="32" t="s">
        <v>455</v>
      </c>
      <c r="G3" s="32" t="s">
        <v>470</v>
      </c>
      <c r="H3" s="32" t="s">
        <v>471</v>
      </c>
      <c r="R3" s="25" t="s">
        <v>455</v>
      </c>
      <c r="S3" s="25" t="s">
        <v>473</v>
      </c>
      <c r="T3" s="25" t="s">
        <v>454</v>
      </c>
      <c r="U3" s="25" t="s">
        <v>461</v>
      </c>
    </row>
    <row r="4" spans="1:23" ht="15.75" x14ac:dyDescent="0.25">
      <c r="A4" s="36" t="s">
        <v>475</v>
      </c>
      <c r="B4" s="31">
        <f>100+U4-R4</f>
        <v>39</v>
      </c>
      <c r="C4" s="31">
        <f>100+U4-R4-S4</f>
        <v>23</v>
      </c>
      <c r="D4" s="31">
        <f>100+U4-R4-S4-T4</f>
        <v>6</v>
      </c>
      <c r="F4" s="31">
        <f>-U4+R4</f>
        <v>61</v>
      </c>
      <c r="G4" s="31">
        <f>-U4+R4+S4</f>
        <v>77</v>
      </c>
      <c r="H4" s="31">
        <f>-U4+R4+S4+T4</f>
        <v>94</v>
      </c>
      <c r="R4" s="26">
        <v>64</v>
      </c>
      <c r="S4" s="26">
        <v>16</v>
      </c>
      <c r="T4" s="26">
        <v>17</v>
      </c>
      <c r="U4" s="26">
        <v>3</v>
      </c>
      <c r="W4" s="31">
        <f>SUM(R4:U4)</f>
        <v>100</v>
      </c>
    </row>
    <row r="5" spans="1:23" ht="15.75" x14ac:dyDescent="0.25">
      <c r="A5" s="36" t="s">
        <v>476</v>
      </c>
      <c r="B5" s="31">
        <f t="shared" ref="B5:B7" si="0">100+U5-R5</f>
        <v>40.400000000000006</v>
      </c>
      <c r="C5" s="31">
        <f t="shared" ref="C5:C7" si="1">100+U5-R5-S5</f>
        <v>11.400000000000006</v>
      </c>
      <c r="D5" s="31">
        <f t="shared" ref="D5:D7" si="2">100+U5-R5-S5-T5</f>
        <v>0.40000000000000568</v>
      </c>
      <c r="F5" s="31">
        <f t="shared" ref="F5:F7" si="3">-U5+R5</f>
        <v>59.6</v>
      </c>
      <c r="G5" s="31">
        <f t="shared" ref="G5:G7" si="4">-U5+R5+S5</f>
        <v>88.6</v>
      </c>
      <c r="H5" s="31">
        <f t="shared" ref="H5:H7" si="5">-U5+R5+S5+T5</f>
        <v>99.6</v>
      </c>
      <c r="R5" s="26">
        <v>60</v>
      </c>
      <c r="S5" s="26">
        <v>29</v>
      </c>
      <c r="T5" s="26">
        <v>11</v>
      </c>
      <c r="U5" s="26">
        <v>0.4</v>
      </c>
      <c r="W5" s="31">
        <f t="shared" ref="W5:W7" si="6">SUM(R5:U5)</f>
        <v>100.4</v>
      </c>
    </row>
    <row r="6" spans="1:23" ht="15.75" x14ac:dyDescent="0.25">
      <c r="A6" s="36" t="s">
        <v>477</v>
      </c>
      <c r="B6" s="31">
        <f t="shared" si="0"/>
        <v>44.400000000000006</v>
      </c>
      <c r="C6" s="31">
        <f t="shared" si="1"/>
        <v>18.400000000000006</v>
      </c>
      <c r="D6" s="31">
        <f t="shared" si="2"/>
        <v>0.40000000000000568</v>
      </c>
      <c r="F6" s="31">
        <f t="shared" si="3"/>
        <v>55.6</v>
      </c>
      <c r="G6" s="31">
        <f t="shared" si="4"/>
        <v>81.599999999999994</v>
      </c>
      <c r="H6" s="31">
        <f t="shared" si="5"/>
        <v>99.6</v>
      </c>
      <c r="R6" s="26">
        <v>56</v>
      </c>
      <c r="S6" s="26">
        <v>26</v>
      </c>
      <c r="T6" s="26">
        <v>18</v>
      </c>
      <c r="U6" s="26">
        <v>0.4</v>
      </c>
      <c r="W6" s="31">
        <f t="shared" si="6"/>
        <v>100.4</v>
      </c>
    </row>
    <row r="7" spans="1:23" ht="15.75" x14ac:dyDescent="0.25">
      <c r="A7" s="36" t="s">
        <v>478</v>
      </c>
      <c r="B7" s="31">
        <f t="shared" si="0"/>
        <v>60</v>
      </c>
      <c r="C7" s="31">
        <f t="shared" si="1"/>
        <v>21</v>
      </c>
      <c r="D7" s="31">
        <f t="shared" si="2"/>
        <v>2</v>
      </c>
      <c r="F7" s="31">
        <f t="shared" si="3"/>
        <v>40</v>
      </c>
      <c r="G7" s="31">
        <f t="shared" si="4"/>
        <v>79</v>
      </c>
      <c r="H7" s="31">
        <f t="shared" si="5"/>
        <v>98</v>
      </c>
      <c r="R7" s="26">
        <v>41</v>
      </c>
      <c r="S7" s="26">
        <v>39</v>
      </c>
      <c r="T7" s="26">
        <v>19</v>
      </c>
      <c r="U7" s="26">
        <v>1</v>
      </c>
      <c r="W7" s="31">
        <f t="shared" si="6"/>
        <v>100</v>
      </c>
    </row>
    <row r="9" spans="1:23" ht="15.75" x14ac:dyDescent="0.25">
      <c r="A9" s="36" t="s">
        <v>479</v>
      </c>
      <c r="B9" s="31">
        <f t="shared" ref="B9:B18" si="7">100+U9-R9</f>
        <v>68.400000000000006</v>
      </c>
      <c r="C9" s="31">
        <f t="shared" ref="C9:C18" si="8">100+U9-R9-S9</f>
        <v>22.400000000000006</v>
      </c>
      <c r="D9" s="31">
        <f t="shared" ref="D9:D18" si="9">100+U9-R9-S9-T9</f>
        <v>1.4000000000000057</v>
      </c>
      <c r="F9" s="31">
        <f t="shared" ref="F9:F18" si="10">-U9+R9</f>
        <v>31.6</v>
      </c>
      <c r="G9" s="31">
        <f t="shared" ref="G9:G18" si="11">-U9+R9+S9</f>
        <v>77.599999999999994</v>
      </c>
      <c r="H9" s="31">
        <f t="shared" ref="H9:H18" si="12">-U9+R9+S9+T9</f>
        <v>98.6</v>
      </c>
      <c r="R9" s="3">
        <v>32</v>
      </c>
      <c r="S9" s="3">
        <v>46</v>
      </c>
      <c r="T9" s="3">
        <v>21</v>
      </c>
      <c r="U9" s="26">
        <v>0.4</v>
      </c>
      <c r="W9" s="31">
        <f t="shared" ref="W9:W18" si="13">SUM(R9:U9)</f>
        <v>99.4</v>
      </c>
    </row>
    <row r="10" spans="1:23" ht="15.75" x14ac:dyDescent="0.25">
      <c r="A10" s="36" t="s">
        <v>480</v>
      </c>
      <c r="B10" s="31">
        <f t="shared" si="7"/>
        <v>69.400000000000006</v>
      </c>
      <c r="C10" s="31">
        <f t="shared" si="8"/>
        <v>28.400000000000006</v>
      </c>
      <c r="D10" s="31">
        <f t="shared" si="9"/>
        <v>1.4000000000000057</v>
      </c>
      <c r="F10" s="31">
        <f t="shared" si="10"/>
        <v>30.6</v>
      </c>
      <c r="G10" s="31">
        <f t="shared" si="11"/>
        <v>71.599999999999994</v>
      </c>
      <c r="H10" s="31">
        <f t="shared" si="12"/>
        <v>98.6</v>
      </c>
      <c r="R10" s="3">
        <v>31</v>
      </c>
      <c r="S10" s="3">
        <v>41</v>
      </c>
      <c r="T10" s="3">
        <v>27</v>
      </c>
      <c r="U10" s="26">
        <v>0.4</v>
      </c>
      <c r="W10" s="31">
        <f t="shared" si="13"/>
        <v>99.4</v>
      </c>
    </row>
    <row r="11" spans="1:23" ht="15.75" x14ac:dyDescent="0.25">
      <c r="A11" s="36" t="s">
        <v>481</v>
      </c>
      <c r="B11" s="31">
        <f t="shared" si="7"/>
        <v>70.400000000000006</v>
      </c>
      <c r="C11" s="31">
        <f t="shared" si="8"/>
        <v>15.400000000000006</v>
      </c>
      <c r="D11" s="31">
        <f t="shared" si="9"/>
        <v>0.40000000000000568</v>
      </c>
      <c r="F11" s="31">
        <f t="shared" si="10"/>
        <v>29.6</v>
      </c>
      <c r="G11" s="31">
        <f t="shared" si="11"/>
        <v>84.6</v>
      </c>
      <c r="H11" s="31">
        <f t="shared" si="12"/>
        <v>99.6</v>
      </c>
      <c r="R11" s="3">
        <v>30</v>
      </c>
      <c r="S11" s="3">
        <v>55</v>
      </c>
      <c r="T11" s="3">
        <v>15</v>
      </c>
      <c r="U11" s="26">
        <v>0.4</v>
      </c>
      <c r="W11" s="31">
        <f t="shared" si="13"/>
        <v>100.4</v>
      </c>
    </row>
    <row r="12" spans="1:23" ht="15.75" x14ac:dyDescent="0.25">
      <c r="A12" s="36" t="s">
        <v>482</v>
      </c>
      <c r="B12" s="31">
        <f t="shared" si="7"/>
        <v>74</v>
      </c>
      <c r="C12" s="31">
        <f t="shared" si="8"/>
        <v>20</v>
      </c>
      <c r="D12" s="31">
        <f t="shared" si="9"/>
        <v>2</v>
      </c>
      <c r="F12" s="31">
        <f t="shared" si="10"/>
        <v>26</v>
      </c>
      <c r="G12" s="31">
        <f t="shared" si="11"/>
        <v>80</v>
      </c>
      <c r="H12" s="31">
        <f t="shared" si="12"/>
        <v>98</v>
      </c>
      <c r="R12" s="3">
        <v>27</v>
      </c>
      <c r="S12" s="3">
        <v>54</v>
      </c>
      <c r="T12" s="3">
        <v>18</v>
      </c>
      <c r="U12" s="3">
        <v>1</v>
      </c>
      <c r="W12" s="31">
        <f t="shared" si="13"/>
        <v>100</v>
      </c>
    </row>
    <row r="13" spans="1:23" ht="15.75" x14ac:dyDescent="0.25">
      <c r="A13" s="36" t="s">
        <v>483</v>
      </c>
      <c r="B13" s="31">
        <f t="shared" si="7"/>
        <v>78</v>
      </c>
      <c r="C13" s="31">
        <f t="shared" si="8"/>
        <v>31</v>
      </c>
      <c r="D13" s="31">
        <f t="shared" si="9"/>
        <v>2</v>
      </c>
      <c r="F13" s="31">
        <f t="shared" si="10"/>
        <v>22</v>
      </c>
      <c r="G13" s="31">
        <f t="shared" si="11"/>
        <v>69</v>
      </c>
      <c r="H13" s="31">
        <f t="shared" si="12"/>
        <v>98</v>
      </c>
      <c r="R13" s="3">
        <v>23</v>
      </c>
      <c r="S13" s="3">
        <v>47</v>
      </c>
      <c r="T13" s="3">
        <v>29</v>
      </c>
      <c r="U13" s="3">
        <v>1</v>
      </c>
      <c r="W13" s="31">
        <f t="shared" si="13"/>
        <v>100</v>
      </c>
    </row>
    <row r="14" spans="1:23" ht="15.75" x14ac:dyDescent="0.25">
      <c r="A14" s="36" t="s">
        <v>484</v>
      </c>
      <c r="B14" s="31">
        <f t="shared" si="7"/>
        <v>81</v>
      </c>
      <c r="C14" s="31">
        <f t="shared" si="8"/>
        <v>41</v>
      </c>
      <c r="D14" s="31">
        <f t="shared" si="9"/>
        <v>2</v>
      </c>
      <c r="F14" s="31">
        <f t="shared" si="10"/>
        <v>19</v>
      </c>
      <c r="G14" s="31">
        <f t="shared" si="11"/>
        <v>59</v>
      </c>
      <c r="H14" s="31">
        <f t="shared" si="12"/>
        <v>98</v>
      </c>
      <c r="R14" s="3">
        <v>20</v>
      </c>
      <c r="S14" s="3">
        <v>40</v>
      </c>
      <c r="T14" s="3">
        <v>39</v>
      </c>
      <c r="U14" s="3">
        <v>1</v>
      </c>
      <c r="W14" s="31">
        <f t="shared" si="13"/>
        <v>100</v>
      </c>
    </row>
    <row r="15" spans="1:23" ht="15.75" x14ac:dyDescent="0.25">
      <c r="A15" s="36" t="s">
        <v>485</v>
      </c>
      <c r="B15" s="31">
        <f t="shared" si="7"/>
        <v>80.400000000000006</v>
      </c>
      <c r="C15" s="31">
        <f t="shared" si="8"/>
        <v>39.400000000000006</v>
      </c>
      <c r="D15" s="31">
        <f t="shared" si="9"/>
        <v>0.40000000000000568</v>
      </c>
      <c r="F15" s="31">
        <f t="shared" si="10"/>
        <v>19.600000000000001</v>
      </c>
      <c r="G15" s="31">
        <f t="shared" si="11"/>
        <v>60.6</v>
      </c>
      <c r="H15" s="31">
        <f t="shared" si="12"/>
        <v>99.6</v>
      </c>
      <c r="R15" s="26">
        <v>20</v>
      </c>
      <c r="S15" s="26">
        <v>41</v>
      </c>
      <c r="T15" s="26">
        <v>39</v>
      </c>
      <c r="U15" s="26">
        <v>0.4</v>
      </c>
      <c r="W15" s="31">
        <f t="shared" si="13"/>
        <v>100.4</v>
      </c>
    </row>
    <row r="16" spans="1:23" ht="15.75" x14ac:dyDescent="0.25">
      <c r="A16" s="36" t="s">
        <v>486</v>
      </c>
      <c r="B16" s="31">
        <f t="shared" si="7"/>
        <v>80.400000000000006</v>
      </c>
      <c r="C16" s="31">
        <f t="shared" si="8"/>
        <v>36.400000000000006</v>
      </c>
      <c r="D16" s="31">
        <f t="shared" si="9"/>
        <v>-0.59999999999999432</v>
      </c>
      <c r="F16" s="31">
        <f t="shared" si="10"/>
        <v>19.600000000000001</v>
      </c>
      <c r="G16" s="31">
        <f t="shared" si="11"/>
        <v>63.6</v>
      </c>
      <c r="H16" s="31">
        <f t="shared" si="12"/>
        <v>100.6</v>
      </c>
      <c r="R16" s="3">
        <v>20</v>
      </c>
      <c r="S16" s="3">
        <v>44</v>
      </c>
      <c r="T16" s="3">
        <v>37</v>
      </c>
      <c r="U16" s="26">
        <v>0.4</v>
      </c>
      <c r="W16" s="31">
        <f t="shared" si="13"/>
        <v>101.4</v>
      </c>
    </row>
    <row r="17" spans="1:25" ht="15.75" x14ac:dyDescent="0.25">
      <c r="A17" s="36" t="s">
        <v>487</v>
      </c>
      <c r="B17" s="31">
        <f t="shared" si="7"/>
        <v>84.4</v>
      </c>
      <c r="C17" s="31">
        <f t="shared" si="8"/>
        <v>28.400000000000006</v>
      </c>
      <c r="D17" s="31">
        <f t="shared" si="9"/>
        <v>0.40000000000000568</v>
      </c>
      <c r="F17" s="31">
        <f t="shared" si="10"/>
        <v>15.6</v>
      </c>
      <c r="G17" s="31">
        <f t="shared" si="11"/>
        <v>71.599999999999994</v>
      </c>
      <c r="H17" s="31">
        <f t="shared" si="12"/>
        <v>99.6</v>
      </c>
      <c r="R17" s="3">
        <v>16</v>
      </c>
      <c r="S17" s="3">
        <v>56</v>
      </c>
      <c r="T17" s="3">
        <v>28</v>
      </c>
      <c r="U17" s="26">
        <v>0.4</v>
      </c>
      <c r="W17" s="31">
        <f t="shared" si="13"/>
        <v>100.4</v>
      </c>
    </row>
    <row r="18" spans="1:25" ht="15.75" x14ac:dyDescent="0.25">
      <c r="A18" s="36" t="s">
        <v>488</v>
      </c>
      <c r="B18" s="31">
        <f t="shared" si="7"/>
        <v>90</v>
      </c>
      <c r="C18" s="31">
        <f t="shared" si="8"/>
        <v>48</v>
      </c>
      <c r="D18" s="31">
        <f t="shared" si="9"/>
        <v>8</v>
      </c>
      <c r="F18" s="31">
        <f t="shared" si="10"/>
        <v>10</v>
      </c>
      <c r="G18" s="31">
        <f t="shared" si="11"/>
        <v>52</v>
      </c>
      <c r="H18" s="31">
        <f t="shared" si="12"/>
        <v>92</v>
      </c>
      <c r="R18" s="3">
        <v>14</v>
      </c>
      <c r="S18" s="3">
        <v>42</v>
      </c>
      <c r="T18" s="3">
        <v>40</v>
      </c>
      <c r="U18" s="3">
        <v>4</v>
      </c>
      <c r="W18" s="31">
        <f t="shared" si="13"/>
        <v>100</v>
      </c>
    </row>
    <row r="20" spans="1:25" ht="15.75" x14ac:dyDescent="0.25">
      <c r="A20" s="36" t="s">
        <v>489</v>
      </c>
      <c r="B20" s="31">
        <f t="shared" ref="B20:B25" si="14">100+U20-R20</f>
        <v>83.4</v>
      </c>
      <c r="C20" s="31">
        <f t="shared" ref="C20:C25" si="15">100+U20-R20-S20</f>
        <v>42.400000000000006</v>
      </c>
      <c r="D20" s="31">
        <f t="shared" ref="D20:D25" si="16">100+U20-R20-S20-T20</f>
        <v>0.40000000000000568</v>
      </c>
      <c r="F20" s="31">
        <f t="shared" ref="F20:F25" si="17">-U20+R20</f>
        <v>16.600000000000001</v>
      </c>
      <c r="G20" s="31">
        <f t="shared" ref="G20:G25" si="18">-U20+R20+S20</f>
        <v>57.6</v>
      </c>
      <c r="H20" s="31">
        <f t="shared" ref="H20:H25" si="19">-U20+R20+S20+T20</f>
        <v>99.6</v>
      </c>
      <c r="R20" s="3">
        <v>17</v>
      </c>
      <c r="S20" s="3">
        <v>41</v>
      </c>
      <c r="T20" s="3">
        <v>42</v>
      </c>
      <c r="U20" s="26">
        <v>0.4</v>
      </c>
      <c r="W20" s="31">
        <f t="shared" ref="W20:W25" si="20">SUM(R20:U20)</f>
        <v>100.4</v>
      </c>
    </row>
    <row r="21" spans="1:25" ht="15.75" x14ac:dyDescent="0.25">
      <c r="A21" s="36" t="s">
        <v>490</v>
      </c>
      <c r="B21" s="31">
        <f t="shared" si="14"/>
        <v>92</v>
      </c>
      <c r="C21" s="31">
        <f t="shared" si="15"/>
        <v>53</v>
      </c>
      <c r="D21" s="31">
        <f t="shared" si="16"/>
        <v>11</v>
      </c>
      <c r="F21" s="31">
        <f t="shared" si="17"/>
        <v>8</v>
      </c>
      <c r="G21" s="31">
        <f t="shared" si="18"/>
        <v>47</v>
      </c>
      <c r="H21" s="31">
        <f t="shared" si="19"/>
        <v>89</v>
      </c>
      <c r="R21" s="3">
        <v>14</v>
      </c>
      <c r="S21" s="3">
        <v>39</v>
      </c>
      <c r="T21" s="3">
        <v>42</v>
      </c>
      <c r="U21" s="3">
        <v>6</v>
      </c>
      <c r="W21" s="31">
        <f t="shared" si="20"/>
        <v>101</v>
      </c>
    </row>
    <row r="22" spans="1:25" ht="15.75" x14ac:dyDescent="0.25">
      <c r="A22" s="36" t="s">
        <v>491</v>
      </c>
      <c r="B22" s="31">
        <f t="shared" si="14"/>
        <v>88</v>
      </c>
      <c r="C22" s="31">
        <f t="shared" si="15"/>
        <v>46</v>
      </c>
      <c r="D22" s="31">
        <f t="shared" si="16"/>
        <v>4</v>
      </c>
      <c r="F22" s="31">
        <f t="shared" si="17"/>
        <v>12</v>
      </c>
      <c r="G22" s="31">
        <f t="shared" si="18"/>
        <v>54</v>
      </c>
      <c r="H22" s="31">
        <f t="shared" si="19"/>
        <v>96</v>
      </c>
      <c r="R22" s="3">
        <v>14</v>
      </c>
      <c r="S22" s="3">
        <v>42</v>
      </c>
      <c r="T22" s="3">
        <v>42</v>
      </c>
      <c r="U22" s="3">
        <v>2</v>
      </c>
      <c r="W22" s="31">
        <f t="shared" si="20"/>
        <v>100</v>
      </c>
    </row>
    <row r="23" spans="1:25" ht="15.75" x14ac:dyDescent="0.25">
      <c r="A23" s="36" t="s">
        <v>492</v>
      </c>
      <c r="B23" s="31">
        <f t="shared" si="14"/>
        <v>89</v>
      </c>
      <c r="C23" s="31">
        <f t="shared" si="15"/>
        <v>46</v>
      </c>
      <c r="D23" s="31">
        <f t="shared" si="16"/>
        <v>3</v>
      </c>
      <c r="F23" s="31">
        <f t="shared" si="17"/>
        <v>11</v>
      </c>
      <c r="G23" s="31">
        <f t="shared" si="18"/>
        <v>54</v>
      </c>
      <c r="H23" s="31">
        <f t="shared" si="19"/>
        <v>97</v>
      </c>
      <c r="R23" s="3">
        <v>13</v>
      </c>
      <c r="S23" s="3">
        <v>43</v>
      </c>
      <c r="T23" s="3">
        <v>43</v>
      </c>
      <c r="U23" s="3">
        <v>2</v>
      </c>
      <c r="W23" s="31">
        <f t="shared" si="20"/>
        <v>101</v>
      </c>
    </row>
    <row r="24" spans="1:25" ht="15.75" x14ac:dyDescent="0.25">
      <c r="A24" s="36" t="s">
        <v>493</v>
      </c>
      <c r="B24" s="31">
        <f t="shared" si="14"/>
        <v>94</v>
      </c>
      <c r="C24" s="31">
        <f t="shared" si="15"/>
        <v>54</v>
      </c>
      <c r="D24" s="31">
        <f t="shared" si="16"/>
        <v>2</v>
      </c>
      <c r="F24" s="31">
        <f t="shared" si="17"/>
        <v>6</v>
      </c>
      <c r="G24" s="31">
        <f t="shared" si="18"/>
        <v>46</v>
      </c>
      <c r="H24" s="31">
        <f t="shared" si="19"/>
        <v>98</v>
      </c>
      <c r="R24" s="3">
        <v>7</v>
      </c>
      <c r="S24" s="3">
        <v>40</v>
      </c>
      <c r="T24" s="3">
        <v>52</v>
      </c>
      <c r="U24" s="3">
        <v>1</v>
      </c>
      <c r="W24" s="31">
        <f t="shared" si="20"/>
        <v>100</v>
      </c>
    </row>
    <row r="25" spans="1:25" ht="15.75" x14ac:dyDescent="0.25">
      <c r="A25" s="36" t="s">
        <v>494</v>
      </c>
      <c r="B25" s="31">
        <f t="shared" si="14"/>
        <v>98</v>
      </c>
      <c r="C25" s="31">
        <f t="shared" si="15"/>
        <v>66</v>
      </c>
      <c r="D25" s="31">
        <f t="shared" si="16"/>
        <v>2</v>
      </c>
      <c r="F25" s="31">
        <f t="shared" si="17"/>
        <v>2</v>
      </c>
      <c r="G25" s="31">
        <f t="shared" si="18"/>
        <v>34</v>
      </c>
      <c r="H25" s="31">
        <f t="shared" si="19"/>
        <v>98</v>
      </c>
      <c r="R25" s="3">
        <v>3</v>
      </c>
      <c r="S25" s="3">
        <v>32</v>
      </c>
      <c r="T25" s="3">
        <v>64</v>
      </c>
      <c r="U25" s="3">
        <v>1</v>
      </c>
      <c r="W25" s="31">
        <f t="shared" si="20"/>
        <v>100</v>
      </c>
    </row>
    <row r="27" spans="1:25" x14ac:dyDescent="0.25">
      <c r="B27" s="395" t="s">
        <v>499</v>
      </c>
      <c r="C27" s="395"/>
      <c r="D27" s="395"/>
      <c r="E27" s="395"/>
      <c r="F27" s="395"/>
      <c r="G27" s="395"/>
      <c r="I27" s="395" t="s">
        <v>500</v>
      </c>
      <c r="J27" s="395"/>
      <c r="K27" s="395"/>
      <c r="L27" s="395"/>
      <c r="M27" s="395"/>
      <c r="N27" s="395"/>
      <c r="Q27" s="395" t="s">
        <v>497</v>
      </c>
      <c r="R27" s="395"/>
      <c r="S27" s="395"/>
      <c r="T27" s="395"/>
      <c r="U27" s="395"/>
      <c r="V27" s="395"/>
      <c r="W27" s="395"/>
    </row>
    <row r="28" spans="1:25" ht="15.75" x14ac:dyDescent="0.25">
      <c r="A28" s="25" t="s">
        <v>498</v>
      </c>
      <c r="B28" s="25" t="s">
        <v>469</v>
      </c>
      <c r="C28" s="25" t="s">
        <v>455</v>
      </c>
      <c r="D28" s="25" t="s">
        <v>456</v>
      </c>
      <c r="E28" s="25" t="s">
        <v>457</v>
      </c>
      <c r="F28" s="25" t="s">
        <v>474</v>
      </c>
      <c r="G28" s="25" t="s">
        <v>459</v>
      </c>
      <c r="H28" s="35"/>
      <c r="I28" s="25" t="s">
        <v>469</v>
      </c>
      <c r="J28" s="25" t="s">
        <v>455</v>
      </c>
      <c r="K28" s="25" t="s">
        <v>456</v>
      </c>
      <c r="L28" s="25" t="s">
        <v>457</v>
      </c>
      <c r="M28" s="25" t="s">
        <v>474</v>
      </c>
      <c r="N28" s="25" t="s">
        <v>459</v>
      </c>
      <c r="Q28" s="35" t="s">
        <v>469</v>
      </c>
      <c r="R28" s="35" t="s">
        <v>455</v>
      </c>
      <c r="S28" s="35" t="s">
        <v>456</v>
      </c>
      <c r="T28" s="35" t="s">
        <v>457</v>
      </c>
      <c r="U28" s="35" t="s">
        <v>458</v>
      </c>
      <c r="V28" s="35" t="s">
        <v>459</v>
      </c>
      <c r="W28" s="35" t="s">
        <v>461</v>
      </c>
    </row>
    <row r="29" spans="1:25" ht="15.75" x14ac:dyDescent="0.25">
      <c r="A29" s="26" t="s">
        <v>460</v>
      </c>
      <c r="B29" s="31">
        <f>100+W29-Q29</f>
        <v>93</v>
      </c>
      <c r="C29" s="31">
        <f>100+W29-Q29-R29</f>
        <v>73</v>
      </c>
      <c r="D29" s="31">
        <f>100+W29-Q29-R29-S29</f>
        <v>64</v>
      </c>
      <c r="E29" s="31">
        <f>100+W29-Q29-R29-S29-T29</f>
        <v>49</v>
      </c>
      <c r="F29" s="31">
        <f>100+W29-Q29-R29-S29-T29-U29</f>
        <v>9</v>
      </c>
      <c r="G29" s="31">
        <f>100+W29-Q29-R29-S29-T29-U29-V29</f>
        <v>-1</v>
      </c>
      <c r="I29" s="31">
        <f>-W29+Q29</f>
        <v>7</v>
      </c>
      <c r="J29" s="31">
        <f>-W29+Q29+R29</f>
        <v>27</v>
      </c>
      <c r="K29" s="31">
        <f>-W29+Q29+R29+S29</f>
        <v>36</v>
      </c>
      <c r="L29" s="31">
        <f>-W29+Q29+R29+S29+T29</f>
        <v>51</v>
      </c>
      <c r="M29" s="31">
        <f>-W29+Q29+R29+S29+T29+U29</f>
        <v>91</v>
      </c>
      <c r="N29" s="31">
        <f>-W29+Q29+R29+S29+T29+U29+V29</f>
        <v>101</v>
      </c>
      <c r="Q29">
        <v>7</v>
      </c>
      <c r="R29">
        <v>20</v>
      </c>
      <c r="S29">
        <v>9</v>
      </c>
      <c r="T29">
        <v>15</v>
      </c>
      <c r="U29">
        <v>40</v>
      </c>
      <c r="V29">
        <v>10</v>
      </c>
      <c r="Y29" s="31">
        <f t="shared" ref="Y29:Y36" si="21">SUM(Q29:W29)</f>
        <v>101</v>
      </c>
    </row>
    <row r="30" spans="1:25" ht="15.75" x14ac:dyDescent="0.25">
      <c r="A30" s="26" t="s">
        <v>462</v>
      </c>
      <c r="B30" s="31">
        <f t="shared" ref="B30:B36" si="22">100+W30-Q30</f>
        <v>92.4</v>
      </c>
      <c r="C30" s="31">
        <f t="shared" ref="C30:C36" si="23">100+W30-Q30-R30</f>
        <v>90.4</v>
      </c>
      <c r="D30" s="31">
        <f t="shared" ref="D30:D36" si="24">100+W30-Q30-R30-S30</f>
        <v>74.400000000000006</v>
      </c>
      <c r="E30" s="31">
        <f t="shared" ref="E30:E36" si="25">100+W30-Q30-R30-S30-T30</f>
        <v>10.400000000000006</v>
      </c>
      <c r="F30" s="31">
        <f t="shared" ref="F30:F36" si="26">100+W30-Q30-R30-S30-T30-U30</f>
        <v>2.4000000000000057</v>
      </c>
      <c r="G30" s="31">
        <f t="shared" ref="G30:G36" si="27">100+W30-Q30-R30-S30-T30-U30-V30</f>
        <v>1.4000000000000057</v>
      </c>
      <c r="I30" s="31">
        <f t="shared" ref="I30:I36" si="28">-W30+Q30</f>
        <v>7.6</v>
      </c>
      <c r="J30" s="31">
        <f t="shared" ref="J30:J36" si="29">-W30+Q30+R30</f>
        <v>9.6</v>
      </c>
      <c r="K30" s="31">
        <f t="shared" ref="K30:K36" si="30">-W30+Q30+R30+S30</f>
        <v>25.6</v>
      </c>
      <c r="L30" s="31">
        <f t="shared" ref="L30:L36" si="31">-W30+Q30+R30+S30+T30</f>
        <v>89.6</v>
      </c>
      <c r="M30" s="31">
        <f t="shared" ref="M30:M36" si="32">-W30+Q30+R30+S30+T30+U30</f>
        <v>97.6</v>
      </c>
      <c r="N30" s="31">
        <f t="shared" ref="N30:N36" si="33">-W30+Q30+R30+S30+T30+U30+V30</f>
        <v>98.6</v>
      </c>
      <c r="Q30">
        <v>8</v>
      </c>
      <c r="R30">
        <v>2</v>
      </c>
      <c r="S30">
        <v>16</v>
      </c>
      <c r="T30">
        <v>64</v>
      </c>
      <c r="U30">
        <v>8</v>
      </c>
      <c r="V30">
        <v>1</v>
      </c>
      <c r="W30">
        <v>0.4</v>
      </c>
      <c r="Y30" s="31">
        <f t="shared" si="21"/>
        <v>99.4</v>
      </c>
    </row>
    <row r="31" spans="1:25" ht="15.75" x14ac:dyDescent="0.25">
      <c r="A31" s="26" t="s">
        <v>463</v>
      </c>
      <c r="B31" s="31">
        <f t="shared" si="22"/>
        <v>93</v>
      </c>
      <c r="C31" s="31">
        <f t="shared" si="23"/>
        <v>86</v>
      </c>
      <c r="D31" s="31">
        <f t="shared" si="24"/>
        <v>70</v>
      </c>
      <c r="E31" s="31">
        <f t="shared" si="25"/>
        <v>28</v>
      </c>
      <c r="F31" s="31">
        <f t="shared" si="26"/>
        <v>17</v>
      </c>
      <c r="G31" s="31">
        <f t="shared" si="27"/>
        <v>11</v>
      </c>
      <c r="I31" s="31">
        <f t="shared" si="28"/>
        <v>7</v>
      </c>
      <c r="J31" s="31">
        <f t="shared" si="29"/>
        <v>14</v>
      </c>
      <c r="K31" s="31">
        <f t="shared" si="30"/>
        <v>30</v>
      </c>
      <c r="L31" s="31">
        <f t="shared" si="31"/>
        <v>72</v>
      </c>
      <c r="M31" s="31">
        <f t="shared" si="32"/>
        <v>83</v>
      </c>
      <c r="N31" s="31">
        <f t="shared" si="33"/>
        <v>89</v>
      </c>
      <c r="Q31">
        <v>13</v>
      </c>
      <c r="R31">
        <v>7</v>
      </c>
      <c r="S31">
        <v>16</v>
      </c>
      <c r="T31">
        <v>42</v>
      </c>
      <c r="U31">
        <v>11</v>
      </c>
      <c r="V31">
        <v>6</v>
      </c>
      <c r="W31">
        <v>6</v>
      </c>
      <c r="Y31" s="31">
        <f t="shared" si="21"/>
        <v>101</v>
      </c>
    </row>
    <row r="32" spans="1:25" ht="15.75" x14ac:dyDescent="0.25">
      <c r="A32" s="26" t="s">
        <v>464</v>
      </c>
      <c r="B32" s="31">
        <f t="shared" si="22"/>
        <v>98</v>
      </c>
      <c r="C32" s="31">
        <f t="shared" si="23"/>
        <v>90</v>
      </c>
      <c r="D32" s="31">
        <f t="shared" si="24"/>
        <v>71</v>
      </c>
      <c r="E32" s="31">
        <f t="shared" si="25"/>
        <v>29</v>
      </c>
      <c r="F32" s="31">
        <f t="shared" si="26"/>
        <v>18</v>
      </c>
      <c r="G32" s="31">
        <f t="shared" si="27"/>
        <v>17.600000000000001</v>
      </c>
      <c r="I32" s="31">
        <f t="shared" si="28"/>
        <v>2</v>
      </c>
      <c r="J32" s="31">
        <f t="shared" si="29"/>
        <v>10</v>
      </c>
      <c r="K32" s="31">
        <f t="shared" si="30"/>
        <v>29</v>
      </c>
      <c r="L32" s="31">
        <f t="shared" si="31"/>
        <v>71</v>
      </c>
      <c r="M32" s="31">
        <f t="shared" si="32"/>
        <v>82</v>
      </c>
      <c r="N32" s="31">
        <f t="shared" si="33"/>
        <v>82.4</v>
      </c>
      <c r="Q32">
        <v>11</v>
      </c>
      <c r="R32">
        <v>8</v>
      </c>
      <c r="S32">
        <v>19</v>
      </c>
      <c r="T32">
        <v>42</v>
      </c>
      <c r="U32">
        <v>11</v>
      </c>
      <c r="V32">
        <v>0.4</v>
      </c>
      <c r="W32">
        <v>9</v>
      </c>
      <c r="Y32" s="31">
        <f t="shared" si="21"/>
        <v>100.4</v>
      </c>
    </row>
    <row r="33" spans="1:25" ht="15.75" x14ac:dyDescent="0.25">
      <c r="A33" s="26" t="s">
        <v>465</v>
      </c>
      <c r="B33" s="31">
        <f t="shared" si="22"/>
        <v>85</v>
      </c>
      <c r="C33" s="31">
        <f t="shared" si="23"/>
        <v>73</v>
      </c>
      <c r="D33" s="31">
        <f t="shared" si="24"/>
        <v>57</v>
      </c>
      <c r="E33" s="31">
        <f t="shared" si="25"/>
        <v>20</v>
      </c>
      <c r="F33" s="31">
        <f t="shared" si="26"/>
        <v>7</v>
      </c>
      <c r="G33" s="31">
        <f t="shared" si="27"/>
        <v>0</v>
      </c>
      <c r="I33" s="31">
        <f t="shared" si="28"/>
        <v>15</v>
      </c>
      <c r="J33" s="31">
        <f t="shared" si="29"/>
        <v>27</v>
      </c>
      <c r="K33" s="31">
        <f t="shared" si="30"/>
        <v>43</v>
      </c>
      <c r="L33" s="31">
        <f t="shared" si="31"/>
        <v>80</v>
      </c>
      <c r="M33" s="31">
        <f t="shared" si="32"/>
        <v>93</v>
      </c>
      <c r="N33" s="31">
        <f t="shared" si="33"/>
        <v>100</v>
      </c>
      <c r="Q33">
        <v>15</v>
      </c>
      <c r="R33">
        <v>12</v>
      </c>
      <c r="S33">
        <v>16</v>
      </c>
      <c r="T33">
        <v>37</v>
      </c>
      <c r="U33">
        <v>13</v>
      </c>
      <c r="V33">
        <v>7</v>
      </c>
      <c r="Y33" s="31">
        <f t="shared" si="21"/>
        <v>100</v>
      </c>
    </row>
    <row r="34" spans="1:25" ht="15.75" x14ac:dyDescent="0.25">
      <c r="A34" s="26" t="s">
        <v>466</v>
      </c>
      <c r="B34" s="31">
        <f t="shared" si="22"/>
        <v>96</v>
      </c>
      <c r="C34" s="31">
        <f t="shared" si="23"/>
        <v>88</v>
      </c>
      <c r="D34" s="31">
        <f t="shared" si="24"/>
        <v>72</v>
      </c>
      <c r="E34" s="31">
        <f t="shared" si="25"/>
        <v>30</v>
      </c>
      <c r="F34" s="31">
        <f t="shared" si="26"/>
        <v>14</v>
      </c>
      <c r="G34" s="31">
        <f t="shared" si="27"/>
        <v>12</v>
      </c>
      <c r="I34" s="31">
        <f t="shared" si="28"/>
        <v>4</v>
      </c>
      <c r="J34" s="31">
        <f t="shared" si="29"/>
        <v>12</v>
      </c>
      <c r="K34" s="31">
        <f t="shared" si="30"/>
        <v>28</v>
      </c>
      <c r="L34" s="31">
        <f t="shared" si="31"/>
        <v>70</v>
      </c>
      <c r="M34" s="31">
        <f t="shared" si="32"/>
        <v>86</v>
      </c>
      <c r="N34" s="31">
        <f t="shared" si="33"/>
        <v>88</v>
      </c>
      <c r="Q34">
        <v>10</v>
      </c>
      <c r="R34">
        <v>8</v>
      </c>
      <c r="S34">
        <v>16</v>
      </c>
      <c r="T34">
        <v>42</v>
      </c>
      <c r="U34">
        <v>16</v>
      </c>
      <c r="V34">
        <v>2</v>
      </c>
      <c r="W34">
        <v>6</v>
      </c>
      <c r="Y34" s="31">
        <f t="shared" si="21"/>
        <v>100</v>
      </c>
    </row>
    <row r="35" spans="1:25" ht="15.75" x14ac:dyDescent="0.25">
      <c r="A35" s="26" t="s">
        <v>467</v>
      </c>
      <c r="B35" s="31">
        <f t="shared" si="22"/>
        <v>93</v>
      </c>
      <c r="C35" s="31">
        <f t="shared" si="23"/>
        <v>90</v>
      </c>
      <c r="D35" s="31">
        <f t="shared" si="24"/>
        <v>69</v>
      </c>
      <c r="E35" s="31">
        <f t="shared" si="25"/>
        <v>17</v>
      </c>
      <c r="F35" s="31">
        <f t="shared" si="26"/>
        <v>10</v>
      </c>
      <c r="G35" s="31">
        <f t="shared" si="27"/>
        <v>9</v>
      </c>
      <c r="I35" s="31">
        <f t="shared" si="28"/>
        <v>7</v>
      </c>
      <c r="J35" s="31">
        <f t="shared" si="29"/>
        <v>10</v>
      </c>
      <c r="K35" s="31">
        <f t="shared" si="30"/>
        <v>31</v>
      </c>
      <c r="L35" s="31">
        <f t="shared" si="31"/>
        <v>83</v>
      </c>
      <c r="M35" s="31">
        <f t="shared" si="32"/>
        <v>90</v>
      </c>
      <c r="N35" s="31">
        <f t="shared" si="33"/>
        <v>91</v>
      </c>
      <c r="Q35">
        <v>11</v>
      </c>
      <c r="R35">
        <v>3</v>
      </c>
      <c r="S35">
        <v>21</v>
      </c>
      <c r="T35">
        <v>52</v>
      </c>
      <c r="U35">
        <v>7</v>
      </c>
      <c r="V35">
        <v>1</v>
      </c>
      <c r="W35">
        <v>4</v>
      </c>
      <c r="Y35" s="31">
        <f t="shared" si="21"/>
        <v>99</v>
      </c>
    </row>
    <row r="36" spans="1:25" ht="15.75" x14ac:dyDescent="0.25">
      <c r="A36" s="26" t="s">
        <v>468</v>
      </c>
      <c r="B36" s="31">
        <f t="shared" si="22"/>
        <v>97</v>
      </c>
      <c r="C36" s="31">
        <f t="shared" si="23"/>
        <v>86</v>
      </c>
      <c r="D36" s="31">
        <f t="shared" si="24"/>
        <v>71</v>
      </c>
      <c r="E36" s="31">
        <f t="shared" si="25"/>
        <v>32</v>
      </c>
      <c r="F36" s="31">
        <f t="shared" si="26"/>
        <v>19</v>
      </c>
      <c r="G36" s="31">
        <f t="shared" si="27"/>
        <v>18.600000000000001</v>
      </c>
      <c r="I36" s="31">
        <f t="shared" si="28"/>
        <v>3</v>
      </c>
      <c r="J36" s="31">
        <f t="shared" si="29"/>
        <v>14</v>
      </c>
      <c r="K36" s="31">
        <f t="shared" si="30"/>
        <v>29</v>
      </c>
      <c r="L36" s="31">
        <f t="shared" si="31"/>
        <v>68</v>
      </c>
      <c r="M36" s="31">
        <f t="shared" si="32"/>
        <v>81</v>
      </c>
      <c r="N36" s="31">
        <f t="shared" si="33"/>
        <v>81.400000000000006</v>
      </c>
      <c r="Q36">
        <v>12</v>
      </c>
      <c r="R36">
        <v>11</v>
      </c>
      <c r="S36">
        <v>15</v>
      </c>
      <c r="T36">
        <v>39</v>
      </c>
      <c r="U36">
        <v>13</v>
      </c>
      <c r="V36">
        <v>0.4</v>
      </c>
      <c r="W36">
        <v>9</v>
      </c>
      <c r="Y36" s="31">
        <f t="shared" si="21"/>
        <v>99.4</v>
      </c>
    </row>
    <row r="37" spans="1:25" x14ac:dyDescent="0.25">
      <c r="R37" s="34"/>
      <c r="V37" t="s">
        <v>472</v>
      </c>
    </row>
    <row r="38" spans="1:25" x14ac:dyDescent="0.25">
      <c r="R38" s="34"/>
    </row>
  </sheetData>
  <mergeCells count="6">
    <mergeCell ref="I27:N27"/>
    <mergeCell ref="B27:G27"/>
    <mergeCell ref="F2:H2"/>
    <mergeCell ref="B2:D2"/>
    <mergeCell ref="Q27:W27"/>
    <mergeCell ref="R2:U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676CD-1611-4822-9602-9661B70EDE1B}">
  <dimension ref="A2:AI63"/>
  <sheetViews>
    <sheetView topLeftCell="T44" workbookViewId="0">
      <selection activeCell="AB49" sqref="AB49:AB61"/>
    </sheetView>
  </sheetViews>
  <sheetFormatPr defaultRowHeight="15" x14ac:dyDescent="0.25"/>
  <cols>
    <col min="1" max="1" width="5" style="31" bestFit="1" customWidth="1"/>
    <col min="2" max="2" width="9.140625" style="28"/>
    <col min="3" max="3" width="6.7109375" bestFit="1" customWidth="1"/>
    <col min="4" max="4" width="9" bestFit="1" customWidth="1"/>
    <col min="5" max="5" width="9.140625" bestFit="1" customWidth="1"/>
    <col min="6" max="6" width="11.140625" bestFit="1" customWidth="1"/>
    <col min="7" max="7" width="13.85546875" bestFit="1" customWidth="1"/>
    <col min="8" max="8" width="8.28515625" bestFit="1" customWidth="1"/>
    <col min="9" max="9" width="8.28515625" style="33" customWidth="1"/>
    <col min="10" max="10" width="15.7109375" bestFit="1" customWidth="1"/>
    <col min="11" max="11" width="9.7109375" bestFit="1" customWidth="1"/>
    <col min="12" max="12" width="14.5703125" customWidth="1"/>
    <col min="13" max="13" width="9.140625" style="28" bestFit="1" customWidth="1"/>
    <col min="14" max="14" width="8.5703125" bestFit="1" customWidth="1"/>
    <col min="15" max="15" width="11.140625" style="28" bestFit="1" customWidth="1"/>
    <col min="16" max="16" width="11.140625" bestFit="1" customWidth="1"/>
    <col min="17" max="17" width="6.140625" style="28" bestFit="1" customWidth="1"/>
    <col min="18" max="18" width="10.140625" bestFit="1" customWidth="1"/>
    <col min="19" max="19" width="15.28515625" bestFit="1" customWidth="1"/>
    <col min="20" max="21" width="9.5703125" customWidth="1"/>
    <col min="22" max="22" width="10.42578125" customWidth="1"/>
    <col min="23" max="23" width="11.5703125" customWidth="1"/>
    <col min="24" max="24" width="10.7109375" customWidth="1"/>
    <col min="25" max="27" width="10.85546875" customWidth="1"/>
    <col min="28" max="28" width="28" style="28" customWidth="1"/>
    <col min="30" max="31" width="10.5703125" customWidth="1"/>
  </cols>
  <sheetData>
    <row r="2" spans="1:32" s="2" customFormat="1" ht="90" x14ac:dyDescent="0.25">
      <c r="A2" s="86" t="s">
        <v>264</v>
      </c>
      <c r="B2" s="42" t="s">
        <v>1458</v>
      </c>
      <c r="C2" s="42" t="s">
        <v>1456</v>
      </c>
      <c r="D2" s="42" t="s">
        <v>1475</v>
      </c>
      <c r="E2" s="42" t="s">
        <v>1476</v>
      </c>
      <c r="F2" s="42" t="s">
        <v>1453</v>
      </c>
      <c r="G2" s="42" t="s">
        <v>1457</v>
      </c>
      <c r="H2" s="42" t="s">
        <v>1467</v>
      </c>
      <c r="I2" s="42" t="s">
        <v>275</v>
      </c>
      <c r="J2" s="42" t="s">
        <v>1455</v>
      </c>
      <c r="K2" s="42" t="s">
        <v>1495</v>
      </c>
      <c r="L2" s="42" t="s">
        <v>1459</v>
      </c>
      <c r="M2" s="42" t="s">
        <v>1460</v>
      </c>
      <c r="N2" s="42" t="s">
        <v>861</v>
      </c>
      <c r="O2" s="42" t="s">
        <v>13</v>
      </c>
      <c r="P2" s="42" t="s">
        <v>1263</v>
      </c>
      <c r="Q2" s="42" t="s">
        <v>1461</v>
      </c>
      <c r="R2" s="42" t="s">
        <v>10</v>
      </c>
      <c r="S2" s="42" t="s">
        <v>1470</v>
      </c>
      <c r="T2" s="42" t="s">
        <v>3380</v>
      </c>
      <c r="U2" s="42" t="s">
        <v>3381</v>
      </c>
      <c r="V2" s="42" t="s">
        <v>3382</v>
      </c>
      <c r="W2" s="42" t="s">
        <v>3375</v>
      </c>
      <c r="X2" s="42" t="s">
        <v>3377</v>
      </c>
      <c r="Y2" s="42" t="s">
        <v>3376</v>
      </c>
      <c r="Z2" s="42" t="s">
        <v>3378</v>
      </c>
      <c r="AA2" s="42" t="s">
        <v>3379</v>
      </c>
      <c r="AB2" s="42" t="s">
        <v>1469</v>
      </c>
      <c r="AD2" s="79" t="s">
        <v>1639</v>
      </c>
      <c r="AE2" s="79" t="s">
        <v>1640</v>
      </c>
    </row>
    <row r="3" spans="1:32" x14ac:dyDescent="0.25">
      <c r="A3" s="31">
        <v>2</v>
      </c>
      <c r="B3" s="28">
        <v>366</v>
      </c>
      <c r="C3" s="77">
        <f t="shared" ref="C3:C12" si="0">$H$49</f>
        <v>0.02</v>
      </c>
      <c r="D3" s="28">
        <v>3600</v>
      </c>
      <c r="E3">
        <f>D3/3600</f>
        <v>1</v>
      </c>
      <c r="F3" s="30">
        <f t="shared" ref="F3:F12" si="1">A3*B3*C3*D3</f>
        <v>52704</v>
      </c>
      <c r="G3" s="30">
        <f>L3*12*12*12/3600</f>
        <v>5184</v>
      </c>
      <c r="H3" s="77">
        <f>0.25*0.25</f>
        <v>6.25E-2</v>
      </c>
      <c r="I3" s="89" t="s">
        <v>1536</v>
      </c>
      <c r="J3" s="76">
        <f>H3*(1-EXP(-F3/G3))</f>
        <v>6.2497598111821547E-2</v>
      </c>
      <c r="K3" s="34">
        <f t="shared" ref="K3:K12" si="2">J3</f>
        <v>6.2497598111821547E-2</v>
      </c>
      <c r="L3" s="30">
        <f>M3*N3</f>
        <v>10800</v>
      </c>
      <c r="M3" s="29">
        <v>10800</v>
      </c>
      <c r="N3" s="48">
        <v>1</v>
      </c>
      <c r="O3" s="29">
        <v>328000000</v>
      </c>
      <c r="P3" s="30">
        <f t="shared" ref="P3:P12" si="3">O3*(J3)</f>
        <v>20499212.180677466</v>
      </c>
      <c r="Q3" s="28">
        <v>3.5000000000000003E-2</v>
      </c>
      <c r="R3" s="30">
        <f>P3*Q3</f>
        <v>717472.42632371141</v>
      </c>
      <c r="S3" s="30" t="s">
        <v>1471</v>
      </c>
      <c r="T3" s="30">
        <f>1/J3</f>
        <v>16.000614907004689</v>
      </c>
      <c r="U3" s="30">
        <f>T3/0.1</f>
        <v>160.00614907004689</v>
      </c>
      <c r="V3" s="30">
        <f>U3/0.1</f>
        <v>1600.0614907004688</v>
      </c>
      <c r="W3" s="76">
        <f t="shared" ref="W3:W12" si="4">1-J3</f>
        <v>0.93750240188817846</v>
      </c>
      <c r="X3" s="76">
        <f>1-0.1*J3</f>
        <v>0.99375024018881786</v>
      </c>
      <c r="Y3" s="76">
        <f t="shared" ref="Y3:Y12" si="5">1-0.1*0.1*J3</f>
        <v>0.99937502401888179</v>
      </c>
      <c r="Z3" s="76">
        <f>'Vac BTI'!B10</f>
        <v>1.3894736842105263E-6</v>
      </c>
      <c r="AA3" s="76">
        <f>'Vac BTI'!B11</f>
        <v>0.99999861052631578</v>
      </c>
      <c r="AB3" s="28" t="s">
        <v>1466</v>
      </c>
      <c r="AD3" s="31">
        <f t="shared" ref="AD3:AD10" si="6">-J3/J$35</f>
        <v>-1.8528511240072367</v>
      </c>
      <c r="AE3" s="31">
        <f t="shared" ref="AE3:AE12" si="7">-K3/K$25</f>
        <v>-29.645617984115788</v>
      </c>
      <c r="AF3" t="s">
        <v>1635</v>
      </c>
    </row>
    <row r="4" spans="1:32" x14ac:dyDescent="0.25">
      <c r="A4" s="31">
        <v>1</v>
      </c>
      <c r="B4" s="28">
        <v>366</v>
      </c>
      <c r="C4" s="77">
        <f t="shared" si="0"/>
        <v>0.02</v>
      </c>
      <c r="D4" s="28">
        <v>3600</v>
      </c>
      <c r="E4">
        <f t="shared" ref="E4:E12" si="8">D4/3600</f>
        <v>1</v>
      </c>
      <c r="F4" s="30">
        <f t="shared" si="1"/>
        <v>26352</v>
      </c>
      <c r="G4" s="30">
        <f t="shared" ref="G4:G12" si="9">L4*12*12*12/3600</f>
        <v>5184</v>
      </c>
      <c r="H4" s="77">
        <f t="shared" ref="H4:H12" si="10">0.25*0.25</f>
        <v>6.25E-2</v>
      </c>
      <c r="I4" s="89" t="s">
        <v>1536</v>
      </c>
      <c r="J4" s="76">
        <f t="shared" ref="J4:J12" si="11">H4*(1-EXP(-F4/G4))</f>
        <v>6.2112549343588938E-2</v>
      </c>
      <c r="K4" s="34">
        <f t="shared" si="2"/>
        <v>6.2112549343588938E-2</v>
      </c>
      <c r="L4" s="30">
        <f t="shared" ref="L4:L12" si="12">M4*N4</f>
        <v>10800</v>
      </c>
      <c r="M4" s="29">
        <v>10800</v>
      </c>
      <c r="N4" s="48">
        <v>1</v>
      </c>
      <c r="O4" s="29">
        <v>328000000</v>
      </c>
      <c r="P4" s="30">
        <f t="shared" si="3"/>
        <v>20372916.184697174</v>
      </c>
      <c r="Q4" s="28">
        <f>Q3</f>
        <v>3.5000000000000003E-2</v>
      </c>
      <c r="R4" s="30">
        <f t="shared" ref="R4:R12" si="13">P4*Q4</f>
        <v>713052.0664644012</v>
      </c>
      <c r="S4" s="30" t="s">
        <v>1471</v>
      </c>
      <c r="T4" s="30">
        <f t="shared" ref="T4:T12" si="14">1/J4</f>
        <v>16.099806086983882</v>
      </c>
      <c r="U4" s="30">
        <f t="shared" ref="U4:V4" si="15">T4/0.1</f>
        <v>160.99806086983881</v>
      </c>
      <c r="V4" s="30">
        <f t="shared" si="15"/>
        <v>1609.9806086983881</v>
      </c>
      <c r="W4" s="76">
        <f t="shared" si="4"/>
        <v>0.9378874506564111</v>
      </c>
      <c r="X4" s="76">
        <f t="shared" ref="X4:X12" si="16">1-0.1*J4</f>
        <v>0.99378874506564108</v>
      </c>
      <c r="Y4" s="76">
        <f t="shared" si="5"/>
        <v>0.99937887450656415</v>
      </c>
      <c r="Z4" s="76">
        <f>Z$3</f>
        <v>1.3894736842105263E-6</v>
      </c>
      <c r="AA4" s="76">
        <f>AA$3</f>
        <v>0.99999861052631578</v>
      </c>
      <c r="AB4" s="28" t="s">
        <v>1466</v>
      </c>
      <c r="AD4" s="31">
        <f t="shared" si="6"/>
        <v>-1.8414356766209083</v>
      </c>
      <c r="AE4" s="31">
        <f t="shared" si="7"/>
        <v>-29.462970825934534</v>
      </c>
      <c r="AF4" t="s">
        <v>1635</v>
      </c>
    </row>
    <row r="5" spans="1:32" s="93" customFormat="1" x14ac:dyDescent="0.25">
      <c r="A5" s="90">
        <v>1</v>
      </c>
      <c r="B5" s="91">
        <v>366</v>
      </c>
      <c r="C5" s="92">
        <f t="shared" si="0"/>
        <v>0.02</v>
      </c>
      <c r="D5" s="91">
        <v>3600</v>
      </c>
      <c r="E5" s="93">
        <f t="shared" si="8"/>
        <v>1</v>
      </c>
      <c r="F5" s="94">
        <f t="shared" si="1"/>
        <v>26352</v>
      </c>
      <c r="G5" s="94">
        <f t="shared" si="9"/>
        <v>20736</v>
      </c>
      <c r="H5" s="92">
        <f t="shared" si="10"/>
        <v>6.25E-2</v>
      </c>
      <c r="I5" s="95" t="s">
        <v>1536</v>
      </c>
      <c r="J5" s="96">
        <f t="shared" si="11"/>
        <v>4.4962644193075198E-2</v>
      </c>
      <c r="K5" s="97">
        <f t="shared" si="2"/>
        <v>4.4962644193075198E-2</v>
      </c>
      <c r="L5" s="94">
        <f t="shared" si="12"/>
        <v>43200</v>
      </c>
      <c r="M5" s="98">
        <v>10800</v>
      </c>
      <c r="N5" s="99">
        <v>4</v>
      </c>
      <c r="O5" s="98">
        <v>328000000</v>
      </c>
      <c r="P5" s="94">
        <f t="shared" si="3"/>
        <v>14747747.295328666</v>
      </c>
      <c r="Q5" s="91">
        <f t="shared" ref="Q5:Q12" si="17">Q4</f>
        <v>3.5000000000000003E-2</v>
      </c>
      <c r="R5" s="94">
        <f t="shared" si="13"/>
        <v>516171.15533650335</v>
      </c>
      <c r="S5" s="94" t="s">
        <v>1472</v>
      </c>
      <c r="T5" s="30">
        <f t="shared" si="14"/>
        <v>22.240684860656224</v>
      </c>
      <c r="U5" s="30">
        <f t="shared" ref="U5:V7" si="18">T5/0.1</f>
        <v>222.40684860656222</v>
      </c>
      <c r="V5" s="30">
        <f t="shared" si="18"/>
        <v>2224.068486065622</v>
      </c>
      <c r="W5" s="76">
        <f t="shared" si="4"/>
        <v>0.95503735580692484</v>
      </c>
      <c r="X5" s="76">
        <f t="shared" si="16"/>
        <v>0.99550373558069249</v>
      </c>
      <c r="Y5" s="76">
        <f t="shared" si="5"/>
        <v>0.99955037355806919</v>
      </c>
      <c r="Z5" s="76">
        <f t="shared" ref="Z5:AA12" si="19">Z$3</f>
        <v>1.3894736842105263E-6</v>
      </c>
      <c r="AA5" s="76">
        <f t="shared" si="19"/>
        <v>0.99999861052631578</v>
      </c>
      <c r="AB5" s="91" t="s">
        <v>1498</v>
      </c>
      <c r="AD5" s="90">
        <f t="shared" si="6"/>
        <v>-1.3329966006440614</v>
      </c>
      <c r="AE5" s="90">
        <f t="shared" si="7"/>
        <v>-21.327945610304983</v>
      </c>
      <c r="AF5" s="93" t="s">
        <v>1635</v>
      </c>
    </row>
    <row r="6" spans="1:32" s="93" customFormat="1" x14ac:dyDescent="0.25">
      <c r="A6" s="90">
        <v>1</v>
      </c>
      <c r="B6" s="91">
        <v>366</v>
      </c>
      <c r="C6" s="92">
        <f t="shared" si="0"/>
        <v>0.02</v>
      </c>
      <c r="D6" s="91">
        <v>3600</v>
      </c>
      <c r="E6" s="93">
        <f t="shared" ref="E6" si="20">D6/3600</f>
        <v>1</v>
      </c>
      <c r="F6" s="94">
        <f t="shared" si="1"/>
        <v>26352</v>
      </c>
      <c r="G6" s="94">
        <f t="shared" si="9"/>
        <v>5184</v>
      </c>
      <c r="H6" s="92" t="s">
        <v>1468</v>
      </c>
      <c r="I6" s="95" t="s">
        <v>239</v>
      </c>
      <c r="J6" s="96">
        <f>(1-EXP(-F6/G6))</f>
        <v>0.99380078949742301</v>
      </c>
      <c r="K6" s="97">
        <f t="shared" si="2"/>
        <v>0.99380078949742301</v>
      </c>
      <c r="L6" s="94">
        <f t="shared" si="12"/>
        <v>10800</v>
      </c>
      <c r="M6" s="98">
        <v>10800</v>
      </c>
      <c r="N6" s="99">
        <v>1</v>
      </c>
      <c r="O6" s="98">
        <v>328000000</v>
      </c>
      <c r="P6" s="94">
        <f t="shared" si="3"/>
        <v>325966658.95515478</v>
      </c>
      <c r="Q6" s="91">
        <f>Q3</f>
        <v>3.5000000000000003E-2</v>
      </c>
      <c r="R6" s="94">
        <f t="shared" ref="R6" si="21">P6*Q6</f>
        <v>11408833.063430419</v>
      </c>
      <c r="S6" s="94" t="s">
        <v>1472</v>
      </c>
      <c r="T6" s="30">
        <f t="shared" si="14"/>
        <v>1.0062378804364926</v>
      </c>
      <c r="U6" s="30">
        <f t="shared" ref="U6" si="22">T6/0.1</f>
        <v>10.062378804364926</v>
      </c>
      <c r="V6" s="30">
        <f t="shared" ref="V6" si="23">U6/0.1</f>
        <v>100.62378804364926</v>
      </c>
      <c r="W6" s="76">
        <f t="shared" si="4"/>
        <v>6.1992105025769906E-3</v>
      </c>
      <c r="X6" s="76">
        <f t="shared" si="16"/>
        <v>0.90061992105025768</v>
      </c>
      <c r="Y6" s="76">
        <f t="shared" si="5"/>
        <v>0.99006199210502577</v>
      </c>
      <c r="Z6" s="76">
        <f t="shared" si="19"/>
        <v>1.3894736842105263E-6</v>
      </c>
      <c r="AA6" s="76">
        <f t="shared" si="19"/>
        <v>0.99999861052631578</v>
      </c>
      <c r="AB6" s="91" t="s">
        <v>1497</v>
      </c>
      <c r="AD6" s="90">
        <f t="shared" si="6"/>
        <v>-29.462970825934534</v>
      </c>
      <c r="AE6" s="90">
        <f t="shared" si="7"/>
        <v>-471.40753321495254</v>
      </c>
      <c r="AF6" s="93" t="s">
        <v>1635</v>
      </c>
    </row>
    <row r="7" spans="1:32" s="93" customFormat="1" x14ac:dyDescent="0.25">
      <c r="A7" s="90">
        <v>1</v>
      </c>
      <c r="B7" s="91">
        <v>366</v>
      </c>
      <c r="C7" s="92">
        <f t="shared" si="0"/>
        <v>0.02</v>
      </c>
      <c r="D7" s="91">
        <v>3600</v>
      </c>
      <c r="E7" s="93">
        <f t="shared" si="8"/>
        <v>1</v>
      </c>
      <c r="F7" s="94">
        <f t="shared" ref="F7" si="24">A7*B7*C7*D7</f>
        <v>26352</v>
      </c>
      <c r="G7" s="94">
        <f t="shared" ref="G7" si="25">L7*12*12*12/3600</f>
        <v>20736</v>
      </c>
      <c r="H7" s="92" t="s">
        <v>1468</v>
      </c>
      <c r="I7" s="95" t="s">
        <v>239</v>
      </c>
      <c r="J7" s="96">
        <f>(1-EXP(-F7/G7))</f>
        <v>0.71940230708920316</v>
      </c>
      <c r="K7" s="97">
        <f t="shared" ref="K7" si="26">J7</f>
        <v>0.71940230708920316</v>
      </c>
      <c r="L7" s="94">
        <f t="shared" ref="L7" si="27">M7*N7</f>
        <v>43200</v>
      </c>
      <c r="M7" s="98">
        <v>10800</v>
      </c>
      <c r="N7" s="99">
        <v>4</v>
      </c>
      <c r="O7" s="98">
        <v>328000000</v>
      </c>
      <c r="P7" s="94">
        <f t="shared" ref="P7" si="28">O7*(J7)</f>
        <v>235963956.72525865</v>
      </c>
      <c r="Q7" s="91">
        <f>Q4</f>
        <v>3.5000000000000003E-2</v>
      </c>
      <c r="R7" s="94">
        <f t="shared" si="13"/>
        <v>8258738.4853840536</v>
      </c>
      <c r="S7" s="94" t="s">
        <v>1472</v>
      </c>
      <c r="T7" s="30">
        <f t="shared" ref="T7" si="29">1/J7</f>
        <v>1.390042803791014</v>
      </c>
      <c r="U7" s="30">
        <f t="shared" si="18"/>
        <v>13.900428037910139</v>
      </c>
      <c r="V7" s="30">
        <f t="shared" si="18"/>
        <v>139.00428037910137</v>
      </c>
      <c r="W7" s="76">
        <f t="shared" ref="W7" si="30">1-J7</f>
        <v>0.28059769291079684</v>
      </c>
      <c r="X7" s="76">
        <f t="shared" ref="X7" si="31">1-0.1*J7</f>
        <v>0.92805976929107969</v>
      </c>
      <c r="Y7" s="76">
        <f t="shared" ref="Y7" si="32">1-0.1*0.1*J7</f>
        <v>0.99280597692910799</v>
      </c>
      <c r="Z7" s="76">
        <f t="shared" si="19"/>
        <v>1.3894736842105263E-6</v>
      </c>
      <c r="AA7" s="76">
        <f t="shared" si="19"/>
        <v>0.99999861052631578</v>
      </c>
      <c r="AB7" s="91" t="s">
        <v>1497</v>
      </c>
      <c r="AD7" s="90">
        <f t="shared" si="6"/>
        <v>-21.327945610304983</v>
      </c>
      <c r="AE7" s="90">
        <f t="shared" si="7"/>
        <v>-341.24712976487973</v>
      </c>
      <c r="AF7" s="93" t="s">
        <v>1635</v>
      </c>
    </row>
    <row r="8" spans="1:32" s="93" customFormat="1" x14ac:dyDescent="0.25">
      <c r="A8" s="90">
        <v>1</v>
      </c>
      <c r="B8" s="91">
        <v>366</v>
      </c>
      <c r="C8" s="92">
        <f t="shared" si="0"/>
        <v>0.02</v>
      </c>
      <c r="D8" s="91">
        <v>3600</v>
      </c>
      <c r="E8" s="93">
        <f t="shared" ref="E8:E9" si="33">D8/3600</f>
        <v>1</v>
      </c>
      <c r="F8" s="94">
        <f t="shared" si="1"/>
        <v>26352</v>
      </c>
      <c r="G8" s="94">
        <f t="shared" si="9"/>
        <v>62208</v>
      </c>
      <c r="H8" s="92" t="s">
        <v>1468</v>
      </c>
      <c r="I8" s="95" t="s">
        <v>239</v>
      </c>
      <c r="J8" s="96">
        <f>(1-EXP(-F8/G8))</f>
        <v>0.34532157042267164</v>
      </c>
      <c r="K8" s="97">
        <f t="shared" si="2"/>
        <v>0.34532157042267164</v>
      </c>
      <c r="L8" s="94">
        <f t="shared" si="12"/>
        <v>129600</v>
      </c>
      <c r="M8" s="98">
        <v>10800</v>
      </c>
      <c r="N8" s="99">
        <v>12</v>
      </c>
      <c r="O8" s="98">
        <v>328000000</v>
      </c>
      <c r="P8" s="94">
        <f t="shared" si="3"/>
        <v>113265475.0986363</v>
      </c>
      <c r="Q8" s="91">
        <f>Q5</f>
        <v>3.5000000000000003E-2</v>
      </c>
      <c r="R8" s="94">
        <f t="shared" ref="R8:R9" si="34">P8*Q8</f>
        <v>3964291.6284522708</v>
      </c>
      <c r="S8" s="94" t="s">
        <v>3853</v>
      </c>
      <c r="T8" s="30">
        <f t="shared" si="14"/>
        <v>2.8958515356454728</v>
      </c>
      <c r="U8" s="30">
        <f t="shared" ref="U8:V9" si="35">T8/0.1</f>
        <v>28.958515356454726</v>
      </c>
      <c r="V8" s="30">
        <f t="shared" si="35"/>
        <v>289.58515356454723</v>
      </c>
      <c r="W8" s="76">
        <f t="shared" si="4"/>
        <v>0.65467842957732836</v>
      </c>
      <c r="X8" s="76">
        <f t="shared" si="16"/>
        <v>0.9654678429577328</v>
      </c>
      <c r="Y8" s="76">
        <f t="shared" si="5"/>
        <v>0.99654678429577326</v>
      </c>
      <c r="Z8" s="76">
        <f t="shared" si="19"/>
        <v>1.3894736842105263E-6</v>
      </c>
      <c r="AA8" s="76">
        <f t="shared" si="19"/>
        <v>0.99999861052631578</v>
      </c>
      <c r="AB8" s="91" t="s">
        <v>1497</v>
      </c>
      <c r="AD8" s="90">
        <f t="shared" si="6"/>
        <v>-10.237664794042161</v>
      </c>
      <c r="AE8" s="90">
        <f t="shared" si="7"/>
        <v>-163.80263670467457</v>
      </c>
      <c r="AF8" s="93" t="s">
        <v>1635</v>
      </c>
    </row>
    <row r="9" spans="1:32" s="93" customFormat="1" x14ac:dyDescent="0.25">
      <c r="A9" s="90">
        <v>1</v>
      </c>
      <c r="B9" s="91">
        <v>366</v>
      </c>
      <c r="C9" s="92">
        <f t="shared" si="0"/>
        <v>0.02</v>
      </c>
      <c r="D9" s="91">
        <v>3600</v>
      </c>
      <c r="E9" s="93">
        <f t="shared" si="33"/>
        <v>1</v>
      </c>
      <c r="F9" s="94">
        <f t="shared" si="1"/>
        <v>26352</v>
      </c>
      <c r="G9" s="94">
        <f t="shared" si="9"/>
        <v>103680</v>
      </c>
      <c r="H9" s="92" t="s">
        <v>1468</v>
      </c>
      <c r="I9" s="95" t="s">
        <v>239</v>
      </c>
      <c r="J9" s="96">
        <f>(1-EXP(-F9/G9))</f>
        <v>0.22443746914763296</v>
      </c>
      <c r="K9" s="97">
        <f t="shared" si="2"/>
        <v>0.22443746914763296</v>
      </c>
      <c r="L9" s="94">
        <f t="shared" si="12"/>
        <v>216000</v>
      </c>
      <c r="M9" s="98">
        <v>10800</v>
      </c>
      <c r="N9" s="99">
        <v>20</v>
      </c>
      <c r="O9" s="98">
        <v>328000000</v>
      </c>
      <c r="P9" s="94">
        <f t="shared" si="3"/>
        <v>73615489.880423605</v>
      </c>
      <c r="Q9" s="91">
        <f>Q5</f>
        <v>3.5000000000000003E-2</v>
      </c>
      <c r="R9" s="94">
        <f t="shared" si="34"/>
        <v>2576542.1458148262</v>
      </c>
      <c r="S9" s="94" t="s">
        <v>3854</v>
      </c>
      <c r="T9" s="30">
        <f t="shared" si="14"/>
        <v>4.4555840154399933</v>
      </c>
      <c r="U9" s="30">
        <f t="shared" si="35"/>
        <v>44.555840154399931</v>
      </c>
      <c r="V9" s="30">
        <f t="shared" si="35"/>
        <v>445.55840154399931</v>
      </c>
      <c r="W9" s="76">
        <f t="shared" si="4"/>
        <v>0.77556253085236704</v>
      </c>
      <c r="X9" s="76">
        <f t="shared" si="16"/>
        <v>0.97755625308523675</v>
      </c>
      <c r="Y9" s="76">
        <f t="shared" si="5"/>
        <v>0.99775562530852369</v>
      </c>
      <c r="Z9" s="76">
        <f t="shared" si="19"/>
        <v>1.3894736842105263E-6</v>
      </c>
      <c r="AA9" s="76">
        <f t="shared" si="19"/>
        <v>0.99999861052631578</v>
      </c>
      <c r="AB9" s="91" t="s">
        <v>1497</v>
      </c>
      <c r="AD9" s="90">
        <f t="shared" si="6"/>
        <v>-6.6538431802689155</v>
      </c>
      <c r="AE9" s="90">
        <f t="shared" si="7"/>
        <v>-106.46149088430265</v>
      </c>
      <c r="AF9" s="93" t="s">
        <v>1635</v>
      </c>
    </row>
    <row r="10" spans="1:32" s="93" customFormat="1" x14ac:dyDescent="0.25">
      <c r="A10" s="90">
        <v>1</v>
      </c>
      <c r="B10" s="91">
        <v>366</v>
      </c>
      <c r="C10" s="92">
        <f t="shared" si="0"/>
        <v>0.02</v>
      </c>
      <c r="D10" s="91">
        <v>3600</v>
      </c>
      <c r="E10" s="93">
        <f t="shared" ref="E10" si="36">D10/3600</f>
        <v>1</v>
      </c>
      <c r="F10" s="94">
        <f t="shared" ref="F10" si="37">A10*B10*C10*D10</f>
        <v>26352</v>
      </c>
      <c r="G10" s="94">
        <f t="shared" ref="G10" si="38">L10*12*12*12/3600</f>
        <v>124416</v>
      </c>
      <c r="H10" s="92" t="s">
        <v>1468</v>
      </c>
      <c r="I10" s="95" t="s">
        <v>239</v>
      </c>
      <c r="J10" s="96">
        <f>(1-EXP(-F10/G10))</f>
        <v>0.1908779884483871</v>
      </c>
      <c r="K10" s="97">
        <f t="shared" ref="K10" si="39">J10</f>
        <v>0.1908779884483871</v>
      </c>
      <c r="L10" s="94">
        <f t="shared" ref="L10" si="40">M10*N10</f>
        <v>259200</v>
      </c>
      <c r="M10" s="98">
        <v>10800</v>
      </c>
      <c r="N10" s="99">
        <v>24</v>
      </c>
      <c r="O10" s="98">
        <v>328000000</v>
      </c>
      <c r="P10" s="94">
        <f t="shared" ref="P10" si="41">O10*(J10)</f>
        <v>62607980.21107097</v>
      </c>
      <c r="Q10" s="91">
        <f>Q7</f>
        <v>3.5000000000000003E-2</v>
      </c>
      <c r="R10" s="94">
        <f t="shared" ref="R10" si="42">P10*Q10</f>
        <v>2191279.3073874842</v>
      </c>
      <c r="S10" s="94" t="s">
        <v>3854</v>
      </c>
      <c r="T10" s="30">
        <f t="shared" ref="T10" si="43">1/J10</f>
        <v>5.2389487553217657</v>
      </c>
      <c r="U10" s="30">
        <f t="shared" ref="U10" si="44">T10/0.1</f>
        <v>52.389487553217656</v>
      </c>
      <c r="V10" s="30">
        <f t="shared" ref="V10" si="45">U10/0.1</f>
        <v>523.89487553217657</v>
      </c>
      <c r="W10" s="76">
        <f t="shared" ref="W10" si="46">1-J10</f>
        <v>0.8091220115516129</v>
      </c>
      <c r="X10" s="76">
        <f t="shared" ref="X10" si="47">1-0.1*J10</f>
        <v>0.98091220115516131</v>
      </c>
      <c r="Y10" s="76">
        <f t="shared" ref="Y10" si="48">1-0.1*0.1*J10</f>
        <v>0.9980912201155161</v>
      </c>
      <c r="Z10" s="76">
        <f t="shared" si="19"/>
        <v>1.3894736842105263E-6</v>
      </c>
      <c r="AA10" s="76">
        <f t="shared" si="19"/>
        <v>0.99999861052631578</v>
      </c>
      <c r="AB10" s="91" t="s">
        <v>1497</v>
      </c>
      <c r="AD10" s="90">
        <f t="shared" si="6"/>
        <v>-5.6589134003525379</v>
      </c>
      <c r="AE10" s="90">
        <f t="shared" si="7"/>
        <v>-90.542614405640606</v>
      </c>
      <c r="AF10" s="93" t="s">
        <v>1635</v>
      </c>
    </row>
    <row r="11" spans="1:32" x14ac:dyDescent="0.25">
      <c r="A11" s="31">
        <v>1</v>
      </c>
      <c r="B11" s="28">
        <v>366</v>
      </c>
      <c r="C11" s="77">
        <f t="shared" si="0"/>
        <v>0.02</v>
      </c>
      <c r="D11" s="28">
        <v>3600</v>
      </c>
      <c r="E11">
        <f t="shared" si="8"/>
        <v>1</v>
      </c>
      <c r="F11" s="30">
        <f t="shared" si="1"/>
        <v>26352</v>
      </c>
      <c r="G11" s="30">
        <f t="shared" si="9"/>
        <v>51840</v>
      </c>
      <c r="H11" s="77">
        <f t="shared" si="10"/>
        <v>6.25E-2</v>
      </c>
      <c r="I11" s="89" t="s">
        <v>1536</v>
      </c>
      <c r="J11" s="76">
        <f t="shared" si="11"/>
        <v>2.4906422546116948E-2</v>
      </c>
      <c r="K11" s="34">
        <f t="shared" si="2"/>
        <v>2.4906422546116948E-2</v>
      </c>
      <c r="L11" s="30">
        <f t="shared" si="12"/>
        <v>108000</v>
      </c>
      <c r="M11" s="29">
        <v>10800</v>
      </c>
      <c r="N11" s="48">
        <v>10</v>
      </c>
      <c r="O11" s="29">
        <v>328000000</v>
      </c>
      <c r="P11" s="30">
        <f t="shared" si="3"/>
        <v>8169306.5951263588</v>
      </c>
      <c r="Q11" s="28">
        <f>Q5</f>
        <v>3.5000000000000003E-2</v>
      </c>
      <c r="R11" s="30">
        <f t="shared" si="13"/>
        <v>285925.73082942259</v>
      </c>
      <c r="S11" s="30" t="s">
        <v>1473</v>
      </c>
      <c r="T11" s="30">
        <f t="shared" si="14"/>
        <v>40.150286463196039</v>
      </c>
      <c r="U11" s="30">
        <f t="shared" ref="U11:V11" si="49">T11/0.1</f>
        <v>401.50286463196039</v>
      </c>
      <c r="V11" s="30">
        <f t="shared" si="49"/>
        <v>4015.0286463196039</v>
      </c>
      <c r="W11" s="76">
        <f t="shared" si="4"/>
        <v>0.97509357745388303</v>
      </c>
      <c r="X11" s="76">
        <f t="shared" si="16"/>
        <v>0.99750935774538829</v>
      </c>
      <c r="Y11" s="76">
        <f t="shared" si="5"/>
        <v>0.99975093577453888</v>
      </c>
      <c r="Z11" s="76">
        <f t="shared" si="19"/>
        <v>1.3894736842105263E-6</v>
      </c>
      <c r="AA11" s="76">
        <f t="shared" si="19"/>
        <v>0.99999861052631578</v>
      </c>
      <c r="AB11" s="28" t="s">
        <v>1466</v>
      </c>
      <c r="AD11" s="31">
        <f>J$35/J11</f>
        <v>1.3542893084817182</v>
      </c>
      <c r="AE11" s="31">
        <f t="shared" si="7"/>
        <v>-11.814314637053036</v>
      </c>
      <c r="AF11" t="s">
        <v>1635</v>
      </c>
    </row>
    <row r="12" spans="1:32" x14ac:dyDescent="0.25">
      <c r="A12" s="31">
        <v>1</v>
      </c>
      <c r="B12" s="28">
        <v>366</v>
      </c>
      <c r="C12" s="77">
        <f t="shared" si="0"/>
        <v>0.02</v>
      </c>
      <c r="D12" s="28">
        <v>3600</v>
      </c>
      <c r="E12">
        <f t="shared" si="8"/>
        <v>1</v>
      </c>
      <c r="F12" s="30">
        <f t="shared" si="1"/>
        <v>26352</v>
      </c>
      <c r="G12" s="30">
        <f t="shared" si="9"/>
        <v>207360</v>
      </c>
      <c r="H12" s="77">
        <f t="shared" si="10"/>
        <v>6.25E-2</v>
      </c>
      <c r="I12" s="89" t="s">
        <v>1536</v>
      </c>
      <c r="J12" s="76">
        <f t="shared" si="11"/>
        <v>7.4587324260963345E-3</v>
      </c>
      <c r="K12" s="34">
        <f t="shared" si="2"/>
        <v>7.4587324260963345E-3</v>
      </c>
      <c r="L12" s="30">
        <f t="shared" si="12"/>
        <v>432000</v>
      </c>
      <c r="M12" s="29">
        <v>10800</v>
      </c>
      <c r="N12" s="48">
        <v>40</v>
      </c>
      <c r="O12" s="29">
        <v>328000000</v>
      </c>
      <c r="P12" s="30">
        <f t="shared" si="3"/>
        <v>2446464.2357595977</v>
      </c>
      <c r="Q12" s="28">
        <f t="shared" si="17"/>
        <v>3.5000000000000003E-2</v>
      </c>
      <c r="R12" s="30">
        <f t="shared" si="13"/>
        <v>85626.24825158593</v>
      </c>
      <c r="S12" s="30" t="s">
        <v>1474</v>
      </c>
      <c r="T12" s="30">
        <f t="shared" si="14"/>
        <v>134.07103819695118</v>
      </c>
      <c r="U12" s="30">
        <f t="shared" ref="U12:V12" si="50">T12/0.1</f>
        <v>1340.7103819695117</v>
      </c>
      <c r="V12" s="30">
        <f t="shared" si="50"/>
        <v>13407.103819695116</v>
      </c>
      <c r="W12" s="76">
        <f t="shared" si="4"/>
        <v>0.99254126757390371</v>
      </c>
      <c r="X12" s="76">
        <f t="shared" si="16"/>
        <v>0.99925412675739034</v>
      </c>
      <c r="Y12" s="76">
        <f t="shared" si="5"/>
        <v>0.99992541267573909</v>
      </c>
      <c r="Z12" s="76">
        <f t="shared" si="19"/>
        <v>1.3894736842105263E-6</v>
      </c>
      <c r="AA12" s="76">
        <f t="shared" si="19"/>
        <v>0.99999861052631578</v>
      </c>
      <c r="AB12" s="28" t="s">
        <v>1466</v>
      </c>
      <c r="AD12" s="31">
        <f>J$35/J12</f>
        <v>4.5222833907701503</v>
      </c>
      <c r="AE12" s="31">
        <f t="shared" si="7"/>
        <v>-3.5380356818538923</v>
      </c>
      <c r="AF12" t="s">
        <v>1635</v>
      </c>
    </row>
    <row r="13" spans="1:32" x14ac:dyDescent="0.25">
      <c r="D13" s="28"/>
      <c r="G13" s="28"/>
      <c r="T13" s="30"/>
      <c r="U13" s="30"/>
      <c r="V13" s="30"/>
      <c r="W13" s="30"/>
    </row>
    <row r="14" spans="1:32" x14ac:dyDescent="0.25">
      <c r="A14" s="31">
        <v>2</v>
      </c>
      <c r="B14" s="28">
        <v>366</v>
      </c>
      <c r="C14" s="77">
        <f>$H$49</f>
        <v>0.02</v>
      </c>
      <c r="D14" s="28">
        <v>3600</v>
      </c>
      <c r="E14">
        <f t="shared" ref="E14:E18" si="51">D14/3600</f>
        <v>1</v>
      </c>
      <c r="F14" s="30">
        <f>A14*B14*C14*D14</f>
        <v>52704</v>
      </c>
      <c r="G14" s="30">
        <f t="shared" ref="G14:G18" si="52">L14*12*12*12/3600</f>
        <v>192000</v>
      </c>
      <c r="H14" s="77">
        <f t="shared" ref="H14:H18" si="53">0.25*0.25</f>
        <v>6.25E-2</v>
      </c>
      <c r="I14" s="89" t="s">
        <v>1536</v>
      </c>
      <c r="J14" s="76">
        <f t="shared" ref="J14:J18" si="54">H14*(1-EXP(-F14/G14))</f>
        <v>1.5002999734442329E-2</v>
      </c>
      <c r="K14" s="34">
        <f>J14</f>
        <v>1.5002999734442329E-2</v>
      </c>
      <c r="L14" s="30">
        <f t="shared" ref="L14:L18" si="55">M14*N14</f>
        <v>400000</v>
      </c>
      <c r="M14" s="29">
        <v>400000</v>
      </c>
      <c r="N14" s="48">
        <v>1</v>
      </c>
      <c r="O14" s="29">
        <v>328000000</v>
      </c>
      <c r="P14" s="30">
        <f>O14*(J14)</f>
        <v>4920983.9128970839</v>
      </c>
      <c r="Q14" s="28">
        <v>3.5000000000000003E-2</v>
      </c>
      <c r="R14" s="30">
        <f t="shared" ref="R14:R37" si="56">P14*Q14</f>
        <v>172234.43695139795</v>
      </c>
      <c r="S14" s="30" t="s">
        <v>1471</v>
      </c>
      <c r="T14" s="30">
        <f t="shared" ref="T14:T18" si="57">1/J14</f>
        <v>66.653337179251153</v>
      </c>
      <c r="U14" s="30">
        <f t="shared" ref="U14:V14" si="58">T14/0.1</f>
        <v>666.5333717925115</v>
      </c>
      <c r="V14" s="30">
        <f t="shared" si="58"/>
        <v>6665.3337179251148</v>
      </c>
      <c r="W14" s="76">
        <f>1-J14</f>
        <v>0.9849970002655577</v>
      </c>
      <c r="X14" s="76">
        <f t="shared" ref="X14:X18" si="59">1-0.1*J14</f>
        <v>0.99849970002655575</v>
      </c>
      <c r="Y14" s="76">
        <f>1-0.1*0.1*J14</f>
        <v>0.99984997000265563</v>
      </c>
      <c r="Z14" s="76">
        <v>0</v>
      </c>
      <c r="AA14" s="76">
        <v>1</v>
      </c>
      <c r="AB14" s="28" t="s">
        <v>1465</v>
      </c>
      <c r="AD14" s="31">
        <f>J$35/J14</f>
        <v>2.2482505074834611</v>
      </c>
      <c r="AE14" s="31">
        <f t="shared" ref="AE14:AE16" si="60">-K14/K$25</f>
        <v>-7.1166446740444922</v>
      </c>
      <c r="AF14" t="s">
        <v>1635</v>
      </c>
    </row>
    <row r="15" spans="1:32" x14ac:dyDescent="0.25">
      <c r="A15" s="31">
        <v>1</v>
      </c>
      <c r="B15" s="28">
        <v>366</v>
      </c>
      <c r="C15" s="77">
        <f>$H$49</f>
        <v>0.02</v>
      </c>
      <c r="D15" s="28">
        <v>3600</v>
      </c>
      <c r="E15">
        <f t="shared" si="51"/>
        <v>1</v>
      </c>
      <c r="F15" s="30">
        <f>A15*B15*C15*D15</f>
        <v>26352</v>
      </c>
      <c r="G15" s="30">
        <f t="shared" si="52"/>
        <v>192000</v>
      </c>
      <c r="H15" s="77">
        <f t="shared" si="53"/>
        <v>6.25E-2</v>
      </c>
      <c r="I15" s="89" t="s">
        <v>1536</v>
      </c>
      <c r="J15" s="76">
        <f t="shared" si="54"/>
        <v>8.0154836986015415E-3</v>
      </c>
      <c r="K15" s="34">
        <f>J15</f>
        <v>8.0154836986015415E-3</v>
      </c>
      <c r="L15" s="30">
        <f t="shared" si="55"/>
        <v>400000</v>
      </c>
      <c r="M15" s="29">
        <v>400000</v>
      </c>
      <c r="N15" s="48">
        <v>1</v>
      </c>
      <c r="O15" s="29">
        <v>328000000</v>
      </c>
      <c r="P15" s="30">
        <f>O15*(J15)</f>
        <v>2629078.6531413058</v>
      </c>
      <c r="Q15" s="28">
        <f>Q14</f>
        <v>3.5000000000000003E-2</v>
      </c>
      <c r="R15" s="30">
        <f t="shared" si="56"/>
        <v>92017.752859945715</v>
      </c>
      <c r="S15" s="30" t="s">
        <v>1471</v>
      </c>
      <c r="T15" s="30">
        <f t="shared" si="57"/>
        <v>124.75853455661941</v>
      </c>
      <c r="U15" s="30">
        <f t="shared" ref="U15:V15" si="61">T15/0.1</f>
        <v>1247.5853455661941</v>
      </c>
      <c r="V15" s="30">
        <f t="shared" si="61"/>
        <v>12475.85345566194</v>
      </c>
      <c r="W15" s="76">
        <f>1-J15</f>
        <v>0.9919845163013985</v>
      </c>
      <c r="X15" s="76">
        <f t="shared" si="59"/>
        <v>0.99919845163013987</v>
      </c>
      <c r="Y15" s="76">
        <f>1-0.1*0.1*J15</f>
        <v>0.99991984516301402</v>
      </c>
      <c r="Z15" s="76">
        <v>0</v>
      </c>
      <c r="AA15" s="76">
        <v>1</v>
      </c>
      <c r="AB15" s="28" t="s">
        <v>1465</v>
      </c>
      <c r="AD15" s="31">
        <f>J$35/J15</f>
        <v>4.2081679702772208</v>
      </c>
      <c r="AE15" s="31">
        <f t="shared" si="60"/>
        <v>-3.8021295996285933</v>
      </c>
      <c r="AF15" t="s">
        <v>1635</v>
      </c>
    </row>
    <row r="16" spans="1:32" x14ac:dyDescent="0.25">
      <c r="A16" s="31">
        <v>1</v>
      </c>
      <c r="B16" s="28">
        <v>366</v>
      </c>
      <c r="C16" s="77">
        <f>$H$49</f>
        <v>0.02</v>
      </c>
      <c r="D16" s="28">
        <v>3600</v>
      </c>
      <c r="E16">
        <f t="shared" si="51"/>
        <v>1</v>
      </c>
      <c r="F16" s="30">
        <f>A16*B16*C16*D16</f>
        <v>26352</v>
      </c>
      <c r="G16" s="30">
        <f t="shared" si="52"/>
        <v>768000</v>
      </c>
      <c r="H16" s="77">
        <f t="shared" si="53"/>
        <v>6.25E-2</v>
      </c>
      <c r="I16" s="89" t="s">
        <v>1536</v>
      </c>
      <c r="J16" s="76">
        <f t="shared" si="54"/>
        <v>2.1081563604208875E-3</v>
      </c>
      <c r="K16" s="34">
        <f>J16</f>
        <v>2.1081563604208875E-3</v>
      </c>
      <c r="L16" s="30">
        <f t="shared" si="55"/>
        <v>1600000</v>
      </c>
      <c r="M16" s="29">
        <v>400000</v>
      </c>
      <c r="N16" s="48">
        <v>4</v>
      </c>
      <c r="O16" s="29">
        <v>328000000</v>
      </c>
      <c r="P16" s="30">
        <f>O16*(J16)</f>
        <v>691475.2862180511</v>
      </c>
      <c r="Q16" s="28">
        <f t="shared" ref="Q16:Q18" si="62">Q15</f>
        <v>3.5000000000000003E-2</v>
      </c>
      <c r="R16" s="30">
        <f t="shared" si="56"/>
        <v>24201.63501763179</v>
      </c>
      <c r="S16" s="30" t="s">
        <v>1472</v>
      </c>
      <c r="T16" s="30">
        <f t="shared" si="57"/>
        <v>474.34811704400937</v>
      </c>
      <c r="U16" s="30">
        <f t="shared" ref="U16:V16" si="63">T16/0.1</f>
        <v>4743.4811704400936</v>
      </c>
      <c r="V16" s="30">
        <f t="shared" si="63"/>
        <v>47434.811704400934</v>
      </c>
      <c r="W16" s="76">
        <f>1-J16</f>
        <v>0.99789184363957917</v>
      </c>
      <c r="X16" s="76">
        <f t="shared" si="59"/>
        <v>0.99978918436395792</v>
      </c>
      <c r="Y16" s="76">
        <f>1-0.1*0.1*J16</f>
        <v>0.99997891843639575</v>
      </c>
      <c r="Z16" s="76">
        <v>0</v>
      </c>
      <c r="AA16" s="76">
        <v>1</v>
      </c>
      <c r="AB16" s="28" t="s">
        <v>1465</v>
      </c>
      <c r="AD16" s="31">
        <f>J$35/J16</f>
        <v>16</v>
      </c>
      <c r="AE16" s="31">
        <f t="shared" si="60"/>
        <v>-1</v>
      </c>
      <c r="AF16" t="s">
        <v>1635</v>
      </c>
    </row>
    <row r="17" spans="1:35" x14ac:dyDescent="0.25">
      <c r="A17" s="31">
        <v>1</v>
      </c>
      <c r="B17" s="28">
        <v>366</v>
      </c>
      <c r="C17" s="77">
        <f>$H$49</f>
        <v>0.02</v>
      </c>
      <c r="D17" s="28">
        <v>3600</v>
      </c>
      <c r="E17">
        <f t="shared" si="51"/>
        <v>1</v>
      </c>
      <c r="F17" s="30">
        <f>A17*B17*C17*D17</f>
        <v>26352</v>
      </c>
      <c r="G17" s="30">
        <f t="shared" si="52"/>
        <v>1920000</v>
      </c>
      <c r="H17" s="77">
        <f t="shared" si="53"/>
        <v>6.25E-2</v>
      </c>
      <c r="I17" s="89" t="s">
        <v>1536</v>
      </c>
      <c r="J17" s="76">
        <f t="shared" si="54"/>
        <v>8.5195260138963558E-4</v>
      </c>
      <c r="K17" s="34">
        <f>J17</f>
        <v>8.5195260138963558E-4</v>
      </c>
      <c r="L17" s="30">
        <f t="shared" si="55"/>
        <v>4000000</v>
      </c>
      <c r="M17" s="29">
        <v>400000</v>
      </c>
      <c r="N17" s="48">
        <v>10</v>
      </c>
      <c r="O17" s="29">
        <v>328000000</v>
      </c>
      <c r="P17" s="30">
        <f>O17*(J17)</f>
        <v>279440.45325580047</v>
      </c>
      <c r="Q17" s="28">
        <f t="shared" si="62"/>
        <v>3.5000000000000003E-2</v>
      </c>
      <c r="R17" s="30">
        <f t="shared" si="56"/>
        <v>9780.4158639530178</v>
      </c>
      <c r="S17" s="30" t="s">
        <v>1473</v>
      </c>
      <c r="T17" s="30">
        <f t="shared" si="57"/>
        <v>1173.7742197968309</v>
      </c>
      <c r="U17" s="30">
        <f t="shared" ref="U17:V17" si="64">T17/0.1</f>
        <v>11737.742197968309</v>
      </c>
      <c r="V17" s="30">
        <f t="shared" si="64"/>
        <v>117377.42197968309</v>
      </c>
      <c r="W17" s="76">
        <f>1-J17</f>
        <v>0.99914804739861041</v>
      </c>
      <c r="X17" s="76">
        <f t="shared" si="59"/>
        <v>0.99991480473986105</v>
      </c>
      <c r="Y17" s="76">
        <f>1-0.1*0.1*J17</f>
        <v>0.99999148047398612</v>
      </c>
      <c r="Z17" s="76">
        <v>0</v>
      </c>
      <c r="AA17" s="76">
        <v>1</v>
      </c>
      <c r="AB17" s="28" t="s">
        <v>1465</v>
      </c>
      <c r="AD17" s="31">
        <f>J$35/J17</f>
        <v>39.59199339460406</v>
      </c>
      <c r="AE17" s="31">
        <f t="shared" ref="AE17:AE18" si="65">K$25/K17</f>
        <v>2.4744995871627538</v>
      </c>
      <c r="AF17" t="s">
        <v>1635</v>
      </c>
    </row>
    <row r="18" spans="1:35" x14ac:dyDescent="0.25">
      <c r="A18" s="31">
        <v>1</v>
      </c>
      <c r="B18" s="28">
        <v>366</v>
      </c>
      <c r="C18" s="77">
        <f>$H$49</f>
        <v>0.02</v>
      </c>
      <c r="D18" s="28">
        <v>3600</v>
      </c>
      <c r="E18">
        <f t="shared" si="51"/>
        <v>1</v>
      </c>
      <c r="F18" s="30">
        <f>A18*B18*C18*D18</f>
        <v>26352</v>
      </c>
      <c r="G18" s="30">
        <f t="shared" si="52"/>
        <v>7680000</v>
      </c>
      <c r="H18" s="77">
        <f t="shared" si="53"/>
        <v>6.25E-2</v>
      </c>
      <c r="I18" s="89" t="s">
        <v>1536</v>
      </c>
      <c r="J18" s="76">
        <f t="shared" si="54"/>
        <v>2.1408562430649813E-4</v>
      </c>
      <c r="K18" s="34">
        <f>J18</f>
        <v>2.1408562430649813E-4</v>
      </c>
      <c r="L18" s="30">
        <f t="shared" si="55"/>
        <v>16000000</v>
      </c>
      <c r="M18" s="29">
        <v>400000</v>
      </c>
      <c r="N18" s="48">
        <v>40</v>
      </c>
      <c r="O18" s="29">
        <v>328000000</v>
      </c>
      <c r="P18" s="30">
        <f>O18*(J18)</f>
        <v>70220.084772531394</v>
      </c>
      <c r="Q18" s="28">
        <f t="shared" si="62"/>
        <v>3.5000000000000003E-2</v>
      </c>
      <c r="R18" s="30">
        <f t="shared" si="56"/>
        <v>2457.7029670385991</v>
      </c>
      <c r="S18" s="30" t="s">
        <v>1474</v>
      </c>
      <c r="T18" s="30">
        <f t="shared" si="57"/>
        <v>4671.0282544162728</v>
      </c>
      <c r="U18" s="30">
        <f t="shared" ref="U18:V18" si="66">T18/0.1</f>
        <v>46710.282544162728</v>
      </c>
      <c r="V18" s="30">
        <f t="shared" si="66"/>
        <v>467102.82544162724</v>
      </c>
      <c r="W18" s="76">
        <f>1-J18</f>
        <v>0.99978591437569353</v>
      </c>
      <c r="X18" s="76">
        <f t="shared" si="59"/>
        <v>0.9999785914375694</v>
      </c>
      <c r="Y18" s="76">
        <f>1-0.1*0.1*J18</f>
        <v>0.99999785914375694</v>
      </c>
      <c r="Z18" s="76">
        <v>0</v>
      </c>
      <c r="AA18" s="76">
        <v>1</v>
      </c>
      <c r="AB18" s="28" t="s">
        <v>1465</v>
      </c>
      <c r="AD18" s="31">
        <f>J$35/J18</f>
        <v>157.55612678805346</v>
      </c>
      <c r="AE18" s="31">
        <f t="shared" si="65"/>
        <v>9.8472579242533413</v>
      </c>
      <c r="AF18" t="s">
        <v>1635</v>
      </c>
    </row>
    <row r="19" spans="1:35" x14ac:dyDescent="0.25">
      <c r="D19" s="28"/>
      <c r="G19" s="28"/>
      <c r="T19" s="30"/>
      <c r="U19" s="30"/>
      <c r="V19" s="30"/>
      <c r="W19" s="30"/>
    </row>
    <row r="20" spans="1:35" x14ac:dyDescent="0.25">
      <c r="A20" s="31">
        <v>1</v>
      </c>
      <c r="B20" s="28">
        <v>366</v>
      </c>
      <c r="C20" s="77">
        <f>$H$49</f>
        <v>0.02</v>
      </c>
      <c r="D20" s="28">
        <v>3600</v>
      </c>
      <c r="E20">
        <f t="shared" ref="E20:E26" si="67">D20/3600</f>
        <v>1</v>
      </c>
      <c r="F20" s="30">
        <f>A20*B20*C20*D20</f>
        <v>26352</v>
      </c>
      <c r="G20" s="30">
        <f t="shared" ref="G20:G22" si="68">L20*12*12*12/3600</f>
        <v>5184</v>
      </c>
      <c r="H20" s="77">
        <f t="shared" ref="H20:H22" si="69">0.25*0.25</f>
        <v>6.25E-2</v>
      </c>
      <c r="I20" s="89" t="s">
        <v>1536</v>
      </c>
      <c r="J20" s="76">
        <f t="shared" ref="J20:J22" si="70">H20*(1-EXP(-F20/G20))</f>
        <v>6.2112549343588938E-2</v>
      </c>
      <c r="K20" s="34">
        <f>J20</f>
        <v>6.2112549343588938E-2</v>
      </c>
      <c r="L20" s="30">
        <f t="shared" ref="L20:L22" si="71">M20*N20</f>
        <v>10800</v>
      </c>
      <c r="M20" s="29">
        <v>10800</v>
      </c>
      <c r="N20" s="48">
        <v>1</v>
      </c>
      <c r="O20" s="29">
        <v>328000000</v>
      </c>
      <c r="P20" s="30">
        <f>O20*(J20)</f>
        <v>20372916.184697174</v>
      </c>
      <c r="Q20" s="28">
        <v>3.5000000000000003E-2</v>
      </c>
      <c r="R20" s="30">
        <f t="shared" si="56"/>
        <v>713052.0664644012</v>
      </c>
      <c r="S20" s="30" t="s">
        <v>1471</v>
      </c>
      <c r="T20" s="30">
        <f t="shared" ref="T20:T22" si="72">1/J20</f>
        <v>16.099806086983882</v>
      </c>
      <c r="U20" s="30">
        <f t="shared" ref="U20:V20" si="73">T20/0.1</f>
        <v>160.99806086983881</v>
      </c>
      <c r="V20" s="30">
        <f t="shared" si="73"/>
        <v>1609.9806086983881</v>
      </c>
      <c r="W20" s="76">
        <f>1-J20</f>
        <v>0.9378874506564111</v>
      </c>
      <c r="X20" s="76">
        <f t="shared" ref="X20:X22" si="74">1-0.1*J20</f>
        <v>0.99378874506564108</v>
      </c>
      <c r="Y20" s="76">
        <f>1-0.1*0.1*J20</f>
        <v>0.99937887450656415</v>
      </c>
      <c r="Z20" s="76">
        <f>Z$3</f>
        <v>1.3894736842105263E-6</v>
      </c>
      <c r="AA20" s="76">
        <f>AA$3</f>
        <v>0.99999861052631578</v>
      </c>
      <c r="AB20" s="28" t="s">
        <v>1466</v>
      </c>
      <c r="AD20" s="31">
        <f>-J20/J$35</f>
        <v>-1.8414356766209083</v>
      </c>
      <c r="AE20" s="31">
        <f t="shared" ref="AE20:AE22" si="75">-K20/K$25</f>
        <v>-29.462970825934534</v>
      </c>
      <c r="AF20" t="s">
        <v>1635</v>
      </c>
    </row>
    <row r="21" spans="1:35" x14ac:dyDescent="0.25">
      <c r="A21" s="31">
        <v>1</v>
      </c>
      <c r="B21" s="28">
        <v>366</v>
      </c>
      <c r="C21" s="77">
        <f>$H$49</f>
        <v>0.02</v>
      </c>
      <c r="D21" s="28">
        <v>3600</v>
      </c>
      <c r="E21">
        <f t="shared" si="67"/>
        <v>1</v>
      </c>
      <c r="F21" s="30">
        <f>A21*B21*C21*D21</f>
        <v>26352</v>
      </c>
      <c r="G21" s="30">
        <f t="shared" si="68"/>
        <v>20736</v>
      </c>
      <c r="H21" s="77">
        <f t="shared" si="69"/>
        <v>6.25E-2</v>
      </c>
      <c r="I21" s="89" t="s">
        <v>1536</v>
      </c>
      <c r="J21" s="76">
        <f t="shared" si="70"/>
        <v>4.4962644193075198E-2</v>
      </c>
      <c r="K21" s="34">
        <f>J21</f>
        <v>4.4962644193075198E-2</v>
      </c>
      <c r="L21" s="30">
        <f t="shared" si="71"/>
        <v>43200</v>
      </c>
      <c r="M21" s="29">
        <v>10800</v>
      </c>
      <c r="N21" s="48">
        <v>4</v>
      </c>
      <c r="O21" s="29">
        <v>328000000</v>
      </c>
      <c r="P21" s="30">
        <f>O21*(J21)</f>
        <v>14747747.295328666</v>
      </c>
      <c r="Q21" s="28">
        <f t="shared" ref="Q21" si="76">Q20</f>
        <v>3.5000000000000003E-2</v>
      </c>
      <c r="R21" s="30">
        <f t="shared" si="56"/>
        <v>516171.15533650335</v>
      </c>
      <c r="S21" s="30" t="s">
        <v>1472</v>
      </c>
      <c r="T21" s="30">
        <f t="shared" si="72"/>
        <v>22.240684860656224</v>
      </c>
      <c r="U21" s="30">
        <f t="shared" ref="U21:V21" si="77">T21/0.1</f>
        <v>222.40684860656222</v>
      </c>
      <c r="V21" s="30">
        <f t="shared" si="77"/>
        <v>2224.068486065622</v>
      </c>
      <c r="W21" s="76">
        <f>1-J21</f>
        <v>0.95503735580692484</v>
      </c>
      <c r="X21" s="76">
        <f t="shared" si="74"/>
        <v>0.99550373558069249</v>
      </c>
      <c r="Y21" s="76">
        <f>1-0.1*0.1*J21</f>
        <v>0.99955037355806919</v>
      </c>
      <c r="Z21" s="76">
        <f t="shared" ref="Z21:AA22" si="78">Z$3</f>
        <v>1.3894736842105263E-6</v>
      </c>
      <c r="AA21" s="76">
        <f t="shared" si="78"/>
        <v>0.99999861052631578</v>
      </c>
      <c r="AB21" s="28" t="s">
        <v>1466</v>
      </c>
      <c r="AD21" s="31">
        <f>-J21/J$35</f>
        <v>-1.3329966006440614</v>
      </c>
      <c r="AE21" s="31">
        <f t="shared" si="75"/>
        <v>-21.327945610304983</v>
      </c>
      <c r="AF21" t="s">
        <v>1635</v>
      </c>
    </row>
    <row r="22" spans="1:35" s="93" customFormat="1" x14ac:dyDescent="0.25">
      <c r="A22" s="90">
        <v>1</v>
      </c>
      <c r="B22" s="91">
        <v>366</v>
      </c>
      <c r="C22" s="92">
        <f>$H$49</f>
        <v>0.02</v>
      </c>
      <c r="D22" s="91">
        <f>3600*8</f>
        <v>28800</v>
      </c>
      <c r="E22" s="93">
        <f t="shared" si="67"/>
        <v>8</v>
      </c>
      <c r="F22" s="94">
        <f>A22*B22*C22*D22</f>
        <v>210816</v>
      </c>
      <c r="G22" s="94">
        <f t="shared" si="68"/>
        <v>20736</v>
      </c>
      <c r="H22" s="92">
        <f t="shared" si="69"/>
        <v>6.25E-2</v>
      </c>
      <c r="I22" s="95" t="s">
        <v>1536</v>
      </c>
      <c r="J22" s="96">
        <f t="shared" si="70"/>
        <v>6.2497598111821547E-2</v>
      </c>
      <c r="K22" s="97">
        <f>J22</f>
        <v>6.2497598111821547E-2</v>
      </c>
      <c r="L22" s="94">
        <f t="shared" si="71"/>
        <v>43200</v>
      </c>
      <c r="M22" s="98">
        <v>10800</v>
      </c>
      <c r="N22" s="99">
        <v>4</v>
      </c>
      <c r="O22" s="98">
        <v>328000000</v>
      </c>
      <c r="P22" s="94">
        <f>O22*(J22)</f>
        <v>20499212.180677466</v>
      </c>
      <c r="Q22" s="91">
        <f t="shared" ref="Q22" si="79">Q21</f>
        <v>3.5000000000000003E-2</v>
      </c>
      <c r="R22" s="94">
        <f t="shared" si="56"/>
        <v>717472.42632371141</v>
      </c>
      <c r="S22" s="94" t="s">
        <v>1472</v>
      </c>
      <c r="T22" s="30">
        <f t="shared" si="72"/>
        <v>16.000614907004689</v>
      </c>
      <c r="U22" s="30">
        <f t="shared" ref="U22:V22" si="80">T22/0.1</f>
        <v>160.00614907004689</v>
      </c>
      <c r="V22" s="30">
        <f t="shared" si="80"/>
        <v>1600.0614907004688</v>
      </c>
      <c r="W22" s="76">
        <f>1-J22</f>
        <v>0.93750240188817846</v>
      </c>
      <c r="X22" s="76">
        <f t="shared" si="74"/>
        <v>0.99375024018881786</v>
      </c>
      <c r="Y22" s="76">
        <f>1-0.1*0.1*J22</f>
        <v>0.99937502401888179</v>
      </c>
      <c r="Z22" s="76">
        <f t="shared" si="78"/>
        <v>1.3894736842105263E-6</v>
      </c>
      <c r="AA22" s="76">
        <f t="shared" si="78"/>
        <v>0.99999861052631578</v>
      </c>
      <c r="AB22" s="91" t="s">
        <v>1483</v>
      </c>
      <c r="AD22" s="90">
        <f>-J22/J$35</f>
        <v>-1.8528511240072367</v>
      </c>
      <c r="AE22" s="90">
        <f t="shared" si="75"/>
        <v>-29.645617984115788</v>
      </c>
      <c r="AF22" s="93" t="s">
        <v>1635</v>
      </c>
    </row>
    <row r="23" spans="1:35" x14ac:dyDescent="0.25">
      <c r="C23" s="77"/>
      <c r="D23" s="28"/>
      <c r="F23" s="30"/>
      <c r="G23" s="29"/>
      <c r="H23" s="30"/>
      <c r="I23" s="55"/>
      <c r="J23" s="76"/>
      <c r="K23" s="76"/>
      <c r="L23" s="30"/>
      <c r="M23" s="29"/>
      <c r="N23" s="46"/>
      <c r="O23" s="29"/>
      <c r="P23" s="30"/>
      <c r="R23" s="30"/>
      <c r="S23" s="30"/>
      <c r="T23" s="30"/>
      <c r="U23" s="30"/>
      <c r="V23" s="30"/>
      <c r="W23" s="30"/>
      <c r="X23" s="30"/>
      <c r="Y23" s="30"/>
      <c r="Z23" s="30"/>
      <c r="AA23" s="30"/>
      <c r="AD23" s="28"/>
      <c r="AE23" s="28"/>
    </row>
    <row r="24" spans="1:35" x14ac:dyDescent="0.25">
      <c r="A24" s="31">
        <v>1</v>
      </c>
      <c r="B24" s="28">
        <v>366</v>
      </c>
      <c r="C24" s="77">
        <f>$H$49</f>
        <v>0.02</v>
      </c>
      <c r="D24" s="28">
        <v>3600</v>
      </c>
      <c r="E24">
        <f t="shared" si="67"/>
        <v>1</v>
      </c>
      <c r="F24" s="30">
        <f>A24*B24*C24*D24</f>
        <v>26352</v>
      </c>
      <c r="G24" s="30">
        <f t="shared" ref="G24:G26" si="81">L24*12*12*12/3600</f>
        <v>192000</v>
      </c>
      <c r="H24" s="77">
        <f t="shared" ref="H24:H26" si="82">0.25*0.25</f>
        <v>6.25E-2</v>
      </c>
      <c r="I24" s="89" t="s">
        <v>1536</v>
      </c>
      <c r="J24" s="76">
        <f t="shared" ref="J24:J26" si="83">H24*(1-EXP(-F24/G24))</f>
        <v>8.0154836986015415E-3</v>
      </c>
      <c r="K24" s="34">
        <f>J24</f>
        <v>8.0154836986015415E-3</v>
      </c>
      <c r="L24" s="30">
        <f t="shared" ref="L24:L26" si="84">M24*N24</f>
        <v>400000</v>
      </c>
      <c r="M24" s="29">
        <v>400000</v>
      </c>
      <c r="N24" s="48">
        <v>1</v>
      </c>
      <c r="O24" s="29">
        <v>328000000</v>
      </c>
      <c r="P24" s="30">
        <f>O24*(J24)</f>
        <v>2629078.6531413058</v>
      </c>
      <c r="Q24" s="28">
        <v>3.5000000000000003E-2</v>
      </c>
      <c r="R24" s="30">
        <f t="shared" si="56"/>
        <v>92017.752859945715</v>
      </c>
      <c r="S24" s="30" t="s">
        <v>1471</v>
      </c>
      <c r="T24" s="30">
        <f t="shared" ref="T24:T26" si="85">1/J24</f>
        <v>124.75853455661941</v>
      </c>
      <c r="U24" s="30">
        <f t="shared" ref="U24:V24" si="86">T24/0.1</f>
        <v>1247.5853455661941</v>
      </c>
      <c r="V24" s="30">
        <f t="shared" si="86"/>
        <v>12475.85345566194</v>
      </c>
      <c r="W24" s="76">
        <f>1-J24</f>
        <v>0.9919845163013985</v>
      </c>
      <c r="X24" s="76">
        <f t="shared" ref="X24:X26" si="87">1-0.1*J24</f>
        <v>0.99919845163013987</v>
      </c>
      <c r="Y24" s="76">
        <f>1-0.1*0.1*J24</f>
        <v>0.99991984516301402</v>
      </c>
      <c r="Z24" s="76">
        <v>0</v>
      </c>
      <c r="AA24" s="76">
        <v>1</v>
      </c>
      <c r="AB24" s="28" t="s">
        <v>1465</v>
      </c>
      <c r="AD24" s="31">
        <f>J$35/J24</f>
        <v>4.2081679702772208</v>
      </c>
      <c r="AE24" s="31">
        <f>-K24/K$25</f>
        <v>-3.8021295996285933</v>
      </c>
      <c r="AF24" t="s">
        <v>1635</v>
      </c>
    </row>
    <row r="25" spans="1:35" s="93" customFormat="1" x14ac:dyDescent="0.25">
      <c r="A25" s="90">
        <v>1</v>
      </c>
      <c r="B25" s="91">
        <v>366</v>
      </c>
      <c r="C25" s="92">
        <f>$H$49</f>
        <v>0.02</v>
      </c>
      <c r="D25" s="91">
        <v>3600</v>
      </c>
      <c r="E25" s="93">
        <f t="shared" si="67"/>
        <v>1</v>
      </c>
      <c r="F25" s="94">
        <f>A25*B25*C25*D25</f>
        <v>26352</v>
      </c>
      <c r="G25" s="94">
        <f t="shared" si="81"/>
        <v>768000</v>
      </c>
      <c r="H25" s="92">
        <f t="shared" si="82"/>
        <v>6.25E-2</v>
      </c>
      <c r="I25" s="95" t="s">
        <v>1536</v>
      </c>
      <c r="J25" s="96">
        <f t="shared" si="83"/>
        <v>2.1081563604208875E-3</v>
      </c>
      <c r="K25" s="97">
        <f>J25</f>
        <v>2.1081563604208875E-3</v>
      </c>
      <c r="L25" s="94">
        <f t="shared" si="84"/>
        <v>1600000</v>
      </c>
      <c r="M25" s="98">
        <v>400000</v>
      </c>
      <c r="N25" s="99">
        <v>4</v>
      </c>
      <c r="O25" s="98">
        <v>328000000</v>
      </c>
      <c r="P25" s="94">
        <f>O25*(J25)</f>
        <v>691475.2862180511</v>
      </c>
      <c r="Q25" s="91">
        <f t="shared" ref="Q25:Q26" si="88">Q24</f>
        <v>3.5000000000000003E-2</v>
      </c>
      <c r="R25" s="94">
        <f t="shared" si="56"/>
        <v>24201.63501763179</v>
      </c>
      <c r="S25" s="94" t="s">
        <v>1472</v>
      </c>
      <c r="T25" s="30">
        <f t="shared" si="85"/>
        <v>474.34811704400937</v>
      </c>
      <c r="U25" s="30">
        <f t="shared" ref="U25:V25" si="89">T25/0.1</f>
        <v>4743.4811704400936</v>
      </c>
      <c r="V25" s="30">
        <f t="shared" si="89"/>
        <v>47434.811704400934</v>
      </c>
      <c r="W25" s="76">
        <f>1-J25</f>
        <v>0.99789184363957917</v>
      </c>
      <c r="X25" s="76">
        <f t="shared" si="87"/>
        <v>0.99978918436395792</v>
      </c>
      <c r="Y25" s="76">
        <f>1-0.1*0.1*J25</f>
        <v>0.99997891843639575</v>
      </c>
      <c r="Z25" s="76">
        <v>0</v>
      </c>
      <c r="AA25" s="76">
        <v>1</v>
      </c>
      <c r="AB25" s="91" t="s">
        <v>1484</v>
      </c>
      <c r="AD25" s="147">
        <f>J$35/J25</f>
        <v>16</v>
      </c>
      <c r="AE25" s="147">
        <f>K$25/K25</f>
        <v>1</v>
      </c>
      <c r="AF25" s="148" t="s">
        <v>1637</v>
      </c>
      <c r="AG25" s="148"/>
      <c r="AH25" s="148"/>
      <c r="AI25" s="148"/>
    </row>
    <row r="26" spans="1:35" s="93" customFormat="1" x14ac:dyDescent="0.25">
      <c r="A26" s="90">
        <v>1</v>
      </c>
      <c r="B26" s="91">
        <v>366</v>
      </c>
      <c r="C26" s="92">
        <f>$H$49</f>
        <v>0.02</v>
      </c>
      <c r="D26" s="91">
        <f>3600*8</f>
        <v>28800</v>
      </c>
      <c r="E26" s="93">
        <f t="shared" si="67"/>
        <v>8</v>
      </c>
      <c r="F26" s="94">
        <f>A26*B26*C26*D26</f>
        <v>210816</v>
      </c>
      <c r="G26" s="94">
        <f t="shared" si="81"/>
        <v>768000</v>
      </c>
      <c r="H26" s="92">
        <f t="shared" si="82"/>
        <v>6.25E-2</v>
      </c>
      <c r="I26" s="95" t="s">
        <v>1536</v>
      </c>
      <c r="J26" s="96">
        <f t="shared" si="83"/>
        <v>1.5002999734442329E-2</v>
      </c>
      <c r="K26" s="97">
        <f>J26</f>
        <v>1.5002999734442329E-2</v>
      </c>
      <c r="L26" s="94">
        <f t="shared" si="84"/>
        <v>1600000</v>
      </c>
      <c r="M26" s="98">
        <v>400000</v>
      </c>
      <c r="N26" s="99">
        <v>4</v>
      </c>
      <c r="O26" s="98">
        <v>328000000</v>
      </c>
      <c r="P26" s="94">
        <f>O26*(J26)</f>
        <v>4920983.9128970839</v>
      </c>
      <c r="Q26" s="91">
        <f t="shared" si="88"/>
        <v>3.5000000000000003E-2</v>
      </c>
      <c r="R26" s="94">
        <f t="shared" si="56"/>
        <v>172234.43695139795</v>
      </c>
      <c r="S26" s="94" t="s">
        <v>1472</v>
      </c>
      <c r="T26" s="30">
        <f t="shared" si="85"/>
        <v>66.653337179251153</v>
      </c>
      <c r="U26" s="30">
        <f t="shared" ref="U26:V26" si="90">T26/0.1</f>
        <v>666.5333717925115</v>
      </c>
      <c r="V26" s="30">
        <f t="shared" si="90"/>
        <v>6665.3337179251148</v>
      </c>
      <c r="W26" s="76">
        <f>1-J26</f>
        <v>0.9849970002655577</v>
      </c>
      <c r="X26" s="76">
        <f t="shared" si="87"/>
        <v>0.99849970002655575</v>
      </c>
      <c r="Y26" s="76">
        <f>1-0.1*0.1*J26</f>
        <v>0.99984997000265563</v>
      </c>
      <c r="Z26" s="76">
        <v>0</v>
      </c>
      <c r="AA26" s="76">
        <v>1</v>
      </c>
      <c r="AB26" s="91" t="s">
        <v>1485</v>
      </c>
      <c r="AD26" s="90">
        <f>J$35/J26</f>
        <v>2.2482505074834611</v>
      </c>
      <c r="AE26" s="90">
        <f>-K26/K$25</f>
        <v>-7.1166446740444922</v>
      </c>
      <c r="AF26" s="93" t="s">
        <v>1635</v>
      </c>
    </row>
    <row r="27" spans="1:35" x14ac:dyDescent="0.25">
      <c r="D27" s="28"/>
      <c r="G27" s="28"/>
      <c r="T27" s="30"/>
      <c r="U27" s="30"/>
      <c r="V27" s="30"/>
      <c r="W27" s="30"/>
      <c r="AD27" s="28"/>
      <c r="AE27" s="28"/>
    </row>
    <row r="28" spans="1:35" s="93" customFormat="1" x14ac:dyDescent="0.25">
      <c r="A28" s="90">
        <v>1</v>
      </c>
      <c r="B28" s="91">
        <v>366</v>
      </c>
      <c r="C28" s="92">
        <f>$H$49</f>
        <v>0.02</v>
      </c>
      <c r="D28" s="91">
        <v>3600</v>
      </c>
      <c r="E28" s="93">
        <f t="shared" ref="E28:E42" si="91">D28/3600</f>
        <v>1</v>
      </c>
      <c r="F28" s="94">
        <f>A28*B28*C28*D28</f>
        <v>26352</v>
      </c>
      <c r="G28" s="94">
        <f t="shared" ref="G28:G32" si="92">L28*12*12*12/3600</f>
        <v>5184</v>
      </c>
      <c r="H28" s="100" t="s">
        <v>1538</v>
      </c>
      <c r="I28" s="95" t="s">
        <v>1537</v>
      </c>
      <c r="J28" s="96">
        <f>(1-EXP(-F28/G28))</f>
        <v>0.99380078949742301</v>
      </c>
      <c r="K28" s="97">
        <f>J28</f>
        <v>0.99380078949742301</v>
      </c>
      <c r="L28" s="94">
        <f t="shared" ref="L28:L32" si="93">M28*N28</f>
        <v>10800</v>
      </c>
      <c r="M28" s="98">
        <v>10800</v>
      </c>
      <c r="N28" s="99">
        <v>1</v>
      </c>
      <c r="O28" s="98">
        <v>328000000</v>
      </c>
      <c r="P28" s="94">
        <f>O28*(J28)</f>
        <v>325966658.95515478</v>
      </c>
      <c r="Q28" s="91">
        <v>3.5000000000000003E-2</v>
      </c>
      <c r="R28" s="94">
        <f t="shared" si="56"/>
        <v>11408833.063430419</v>
      </c>
      <c r="S28" s="94" t="s">
        <v>1471</v>
      </c>
      <c r="T28" s="30">
        <f t="shared" ref="T28:T32" si="94">1/J28</f>
        <v>1.0062378804364926</v>
      </c>
      <c r="U28" s="30">
        <f t="shared" ref="U28:V28" si="95">T28/0.1</f>
        <v>10.062378804364926</v>
      </c>
      <c r="V28" s="30">
        <f t="shared" si="95"/>
        <v>100.62378804364926</v>
      </c>
      <c r="W28" s="76">
        <f>1-J28</f>
        <v>6.1992105025769906E-3</v>
      </c>
      <c r="X28" s="76">
        <f t="shared" ref="X28:X30" si="96">1-0.1*J28</f>
        <v>0.90061992105025768</v>
      </c>
      <c r="Y28" s="76">
        <f>1-0.1*0.1*J28</f>
        <v>0.99006199210502577</v>
      </c>
      <c r="Z28" s="76">
        <f t="shared" ref="Z28:AA32" si="97">Z$3</f>
        <v>1.3894736842105263E-6</v>
      </c>
      <c r="AA28" s="76">
        <f t="shared" si="97"/>
        <v>0.99999861052631578</v>
      </c>
      <c r="AB28" s="91" t="s">
        <v>1539</v>
      </c>
      <c r="AD28" s="90">
        <f>-J28/J$35</f>
        <v>-29.462970825934534</v>
      </c>
      <c r="AE28" s="90">
        <f t="shared" ref="AE28:AE32" si="98">-K28/K$25</f>
        <v>-471.40753321495254</v>
      </c>
      <c r="AF28" s="93" t="s">
        <v>1635</v>
      </c>
    </row>
    <row r="29" spans="1:35" s="93" customFormat="1" x14ac:dyDescent="0.25">
      <c r="A29" s="90">
        <v>1</v>
      </c>
      <c r="B29" s="91">
        <v>366</v>
      </c>
      <c r="C29" s="92">
        <f>$H$49</f>
        <v>0.02</v>
      </c>
      <c r="D29" s="91">
        <v>3600</v>
      </c>
      <c r="E29" s="93">
        <f t="shared" si="91"/>
        <v>1</v>
      </c>
      <c r="F29" s="94">
        <f>A29*B29*C29*D29</f>
        <v>26352</v>
      </c>
      <c r="G29" s="94">
        <f t="shared" si="92"/>
        <v>20736</v>
      </c>
      <c r="H29" s="100" t="s">
        <v>1538</v>
      </c>
      <c r="I29" s="95" t="s">
        <v>1537</v>
      </c>
      <c r="J29" s="96">
        <f t="shared" ref="J29:J31" si="99">(1-EXP(-F29/G29))</f>
        <v>0.71940230708920316</v>
      </c>
      <c r="K29" s="97">
        <f>J29</f>
        <v>0.71940230708920316</v>
      </c>
      <c r="L29" s="94">
        <f t="shared" si="93"/>
        <v>43200</v>
      </c>
      <c r="M29" s="98">
        <v>10800</v>
      </c>
      <c r="N29" s="99">
        <v>4</v>
      </c>
      <c r="O29" s="98">
        <v>328000000</v>
      </c>
      <c r="P29" s="94">
        <f>O29*(J29)</f>
        <v>235963956.72525865</v>
      </c>
      <c r="Q29" s="91">
        <f t="shared" ref="Q29" si="100">Q28</f>
        <v>3.5000000000000003E-2</v>
      </c>
      <c r="R29" s="94">
        <f t="shared" si="56"/>
        <v>8258738.4853840536</v>
      </c>
      <c r="S29" s="94" t="s">
        <v>1472</v>
      </c>
      <c r="T29" s="30">
        <f t="shared" si="94"/>
        <v>1.390042803791014</v>
      </c>
      <c r="U29" s="30">
        <f t="shared" ref="U29:V29" si="101">T29/0.1</f>
        <v>13.900428037910139</v>
      </c>
      <c r="V29" s="30">
        <f t="shared" si="101"/>
        <v>139.00428037910137</v>
      </c>
      <c r="W29" s="76">
        <f>1-J29</f>
        <v>0.28059769291079684</v>
      </c>
      <c r="X29" s="76">
        <f t="shared" si="96"/>
        <v>0.92805976929107969</v>
      </c>
      <c r="Y29" s="76">
        <f>1-0.1*0.1*J29</f>
        <v>0.99280597692910799</v>
      </c>
      <c r="Z29" s="76">
        <f t="shared" si="97"/>
        <v>1.3894736842105263E-6</v>
      </c>
      <c r="AA29" s="76">
        <f t="shared" si="97"/>
        <v>0.99999861052631578</v>
      </c>
      <c r="AB29" s="91" t="s">
        <v>1486</v>
      </c>
      <c r="AD29" s="90">
        <f>-J29/J$35</f>
        <v>-21.327945610304983</v>
      </c>
      <c r="AE29" s="90">
        <f t="shared" si="98"/>
        <v>-341.24712976487973</v>
      </c>
      <c r="AF29" s="93" t="s">
        <v>1635</v>
      </c>
    </row>
    <row r="30" spans="1:35" s="93" customFormat="1" x14ac:dyDescent="0.25">
      <c r="A30" s="90">
        <v>1</v>
      </c>
      <c r="B30" s="91">
        <v>366</v>
      </c>
      <c r="C30" s="92">
        <f>$H$49</f>
        <v>0.02</v>
      </c>
      <c r="D30" s="91">
        <v>3600</v>
      </c>
      <c r="E30" s="93">
        <f t="shared" si="91"/>
        <v>1</v>
      </c>
      <c r="F30" s="94">
        <f>A30*B30*C30*D30</f>
        <v>26352</v>
      </c>
      <c r="G30" s="94">
        <f t="shared" si="92"/>
        <v>207360</v>
      </c>
      <c r="H30" s="100" t="s">
        <v>1538</v>
      </c>
      <c r="I30" s="95" t="s">
        <v>1537</v>
      </c>
      <c r="J30" s="96">
        <f t="shared" ref="J30" si="102">(1-EXP(-F30/G30))</f>
        <v>0.11933971881754135</v>
      </c>
      <c r="K30" s="97">
        <f>J30</f>
        <v>0.11933971881754135</v>
      </c>
      <c r="L30" s="94">
        <f t="shared" si="93"/>
        <v>432000</v>
      </c>
      <c r="M30" s="98">
        <v>10800</v>
      </c>
      <c r="N30" s="99">
        <v>40</v>
      </c>
      <c r="O30" s="98">
        <v>328000000</v>
      </c>
      <c r="P30" s="94">
        <f>O30*(J30)</f>
        <v>39143427.772153564</v>
      </c>
      <c r="Q30" s="91">
        <f t="shared" ref="Q30" si="103">Q29</f>
        <v>3.5000000000000003E-2</v>
      </c>
      <c r="R30" s="94">
        <f t="shared" ref="R30" si="104">P30*Q30</f>
        <v>1370019.9720253749</v>
      </c>
      <c r="S30" s="94" t="s">
        <v>1474</v>
      </c>
      <c r="T30" s="30">
        <f t="shared" si="94"/>
        <v>8.3794398873094487</v>
      </c>
      <c r="U30" s="30">
        <f t="shared" ref="U30:V30" si="105">T30/0.1</f>
        <v>83.79439887309448</v>
      </c>
      <c r="V30" s="30">
        <f t="shared" si="105"/>
        <v>837.94398873094474</v>
      </c>
      <c r="W30" s="76">
        <f>1-J30</f>
        <v>0.88066028118245865</v>
      </c>
      <c r="X30" s="76">
        <f t="shared" si="96"/>
        <v>0.98806602811824584</v>
      </c>
      <c r="Y30" s="76">
        <f>1-0.1*0.1*J30</f>
        <v>0.99880660281182454</v>
      </c>
      <c r="Z30" s="76">
        <f t="shared" si="97"/>
        <v>1.3894736842105263E-6</v>
      </c>
      <c r="AA30" s="76">
        <f t="shared" si="97"/>
        <v>0.99999861052631578</v>
      </c>
      <c r="AB30" s="91" t="s">
        <v>1486</v>
      </c>
      <c r="AD30" s="90">
        <f>-J30/J$35</f>
        <v>-3.5380356818538923</v>
      </c>
      <c r="AE30" s="90">
        <f t="shared" si="98"/>
        <v>-56.608570909662276</v>
      </c>
      <c r="AF30" s="93" t="s">
        <v>1635</v>
      </c>
    </row>
    <row r="31" spans="1:35" x14ac:dyDescent="0.25">
      <c r="A31" s="31">
        <v>1</v>
      </c>
      <c r="B31" s="28">
        <v>366</v>
      </c>
      <c r="C31" s="77">
        <f>$H$49</f>
        <v>0.02</v>
      </c>
      <c r="D31" s="28">
        <f>3600*8</f>
        <v>28800</v>
      </c>
      <c r="E31">
        <f t="shared" si="91"/>
        <v>8</v>
      </c>
      <c r="F31" s="30">
        <f>A31*B31*C31*D31</f>
        <v>210816</v>
      </c>
      <c r="G31" s="30">
        <f t="shared" si="92"/>
        <v>20736</v>
      </c>
      <c r="H31" s="78" t="s">
        <v>1468</v>
      </c>
      <c r="I31" s="89" t="s">
        <v>239</v>
      </c>
      <c r="J31" s="76">
        <f t="shared" si="99"/>
        <v>0.99996156978914474</v>
      </c>
      <c r="K31" s="34">
        <f>J31</f>
        <v>0.99996156978914474</v>
      </c>
      <c r="L31" s="30">
        <f t="shared" si="93"/>
        <v>43200</v>
      </c>
      <c r="M31" s="29">
        <v>10800</v>
      </c>
      <c r="N31" s="48">
        <v>4</v>
      </c>
      <c r="O31" s="29">
        <v>328000000</v>
      </c>
      <c r="P31" s="30">
        <f>O31*(J31)</f>
        <v>327987394.89083946</v>
      </c>
      <c r="Q31" s="28">
        <f>Q29</f>
        <v>3.5000000000000003E-2</v>
      </c>
      <c r="R31" s="30">
        <f t="shared" si="56"/>
        <v>11479558.821179383</v>
      </c>
      <c r="S31" s="30" t="s">
        <v>1472</v>
      </c>
      <c r="T31" s="30">
        <f t="shared" si="94"/>
        <v>1.0000384316877931</v>
      </c>
      <c r="U31" s="30">
        <f t="shared" ref="U31:V31" si="106">T31/0.1</f>
        <v>10.000384316877931</v>
      </c>
      <c r="V31" s="30">
        <f t="shared" si="106"/>
        <v>100.0038431687793</v>
      </c>
      <c r="W31" s="76">
        <f>1-J31</f>
        <v>3.8430210855255886E-5</v>
      </c>
      <c r="X31" s="76">
        <f t="shared" ref="X31:X32" si="107">1-0.1*J31</f>
        <v>0.90000384302108549</v>
      </c>
      <c r="Y31" s="76">
        <f t="shared" ref="Y31:Y32" si="108">1-0.1*0.1*J31</f>
        <v>0.99000038430210857</v>
      </c>
      <c r="Z31" s="76">
        <f t="shared" si="97"/>
        <v>1.3894736842105263E-6</v>
      </c>
      <c r="AA31" s="76">
        <f t="shared" si="97"/>
        <v>0.99999861052631578</v>
      </c>
      <c r="AB31" s="28" t="s">
        <v>1466</v>
      </c>
      <c r="AD31" s="31">
        <f>-J31/J$35</f>
        <v>-29.645617984115788</v>
      </c>
      <c r="AE31" s="31">
        <f t="shared" si="98"/>
        <v>-474.3298877458526</v>
      </c>
      <c r="AF31" t="s">
        <v>1635</v>
      </c>
    </row>
    <row r="32" spans="1:35" x14ac:dyDescent="0.25">
      <c r="A32" s="31">
        <v>1</v>
      </c>
      <c r="B32" s="28">
        <v>366</v>
      </c>
      <c r="C32" s="77">
        <f>$H$49</f>
        <v>0.02</v>
      </c>
      <c r="D32" s="28">
        <f>3600*8</f>
        <v>28800</v>
      </c>
      <c r="E32">
        <f t="shared" si="91"/>
        <v>8</v>
      </c>
      <c r="F32" s="30">
        <f>A32*B32*C32*D32</f>
        <v>210816</v>
      </c>
      <c r="G32" s="30">
        <f t="shared" si="92"/>
        <v>207360</v>
      </c>
      <c r="H32" s="78" t="s">
        <v>1468</v>
      </c>
      <c r="I32" s="89" t="s">
        <v>239</v>
      </c>
      <c r="J32" s="76">
        <f t="shared" ref="J32" si="109">(1-EXP(-F32/G32))</f>
        <v>0.63820107116003744</v>
      </c>
      <c r="K32" s="34">
        <f>J32</f>
        <v>0.63820107116003744</v>
      </c>
      <c r="L32" s="30">
        <f t="shared" si="93"/>
        <v>432000</v>
      </c>
      <c r="M32" s="29">
        <v>10800</v>
      </c>
      <c r="N32" s="48">
        <v>40</v>
      </c>
      <c r="O32" s="29">
        <v>328000000</v>
      </c>
      <c r="P32" s="30">
        <f>O32*(J32)</f>
        <v>209329951.34049228</v>
      </c>
      <c r="Q32" s="28">
        <f t="shared" ref="Q32" si="110">Q31</f>
        <v>3.5000000000000003E-2</v>
      </c>
      <c r="R32" s="30">
        <f t="shared" ref="R32" si="111">P32*Q32</f>
        <v>7326548.2969172308</v>
      </c>
      <c r="S32" s="30" t="s">
        <v>1474</v>
      </c>
      <c r="T32" s="30">
        <f t="shared" si="94"/>
        <v>1.5669042958237791</v>
      </c>
      <c r="U32" s="30">
        <f t="shared" ref="U32:V32" si="112">T32/0.1</f>
        <v>15.669042958237791</v>
      </c>
      <c r="V32" s="30">
        <f t="shared" si="112"/>
        <v>156.6904295823779</v>
      </c>
      <c r="W32" s="76">
        <f>1-J32</f>
        <v>0.36179892883996256</v>
      </c>
      <c r="X32" s="76">
        <f t="shared" si="107"/>
        <v>0.93617989288399628</v>
      </c>
      <c r="Y32" s="76">
        <f t="shared" si="108"/>
        <v>0.99361798928839962</v>
      </c>
      <c r="Z32" s="76">
        <f t="shared" si="97"/>
        <v>1.3894736842105263E-6</v>
      </c>
      <c r="AA32" s="76">
        <f t="shared" si="97"/>
        <v>0.99999861052631578</v>
      </c>
      <c r="AB32" s="28" t="s">
        <v>1466</v>
      </c>
      <c r="AD32" s="31">
        <f>-J32/J$35</f>
        <v>-18.920592275014599</v>
      </c>
      <c r="AE32" s="31">
        <f t="shared" si="98"/>
        <v>-302.72947640023358</v>
      </c>
      <c r="AF32" t="s">
        <v>1635</v>
      </c>
    </row>
    <row r="33" spans="1:32" x14ac:dyDescent="0.25">
      <c r="C33" s="77"/>
      <c r="D33" s="28"/>
      <c r="F33" s="30"/>
      <c r="G33" s="29"/>
      <c r="H33" s="55"/>
      <c r="I33" s="55"/>
      <c r="J33" s="76"/>
      <c r="K33" s="76"/>
      <c r="L33" s="30"/>
      <c r="M33" s="29"/>
      <c r="N33" s="46"/>
      <c r="O33" s="29"/>
      <c r="P33" s="30"/>
      <c r="R33" s="30"/>
      <c r="S33" s="30"/>
      <c r="T33" s="30"/>
      <c r="U33" s="30"/>
      <c r="V33" s="30"/>
      <c r="W33" s="30"/>
      <c r="X33" s="30"/>
      <c r="Y33" s="30"/>
      <c r="Z33" s="30"/>
      <c r="AA33" s="30"/>
      <c r="AD33" s="28"/>
      <c r="AE33" s="28"/>
    </row>
    <row r="34" spans="1:32" x14ac:dyDescent="0.25">
      <c r="A34" s="31">
        <v>1</v>
      </c>
      <c r="B34" s="28">
        <v>366</v>
      </c>
      <c r="C34" s="77">
        <f>$H$49</f>
        <v>0.02</v>
      </c>
      <c r="D34" s="28">
        <v>3600</v>
      </c>
      <c r="E34">
        <v>1</v>
      </c>
      <c r="F34" s="30">
        <f>A34*B34*C34*D34</f>
        <v>26352</v>
      </c>
      <c r="G34" s="30">
        <f t="shared" ref="G34:G38" si="113">L34*12*12*12/3600</f>
        <v>192000</v>
      </c>
      <c r="H34" s="78" t="s">
        <v>1468</v>
      </c>
      <c r="I34" s="89" t="s">
        <v>239</v>
      </c>
      <c r="J34" s="76">
        <f t="shared" ref="J34:J37" si="114">(1-EXP(-F34/G34))</f>
        <v>0.12824773917762466</v>
      </c>
      <c r="K34" s="34">
        <f>J34</f>
        <v>0.12824773917762466</v>
      </c>
      <c r="L34" s="30">
        <f t="shared" ref="L34:L38" si="115">M34*N34</f>
        <v>400000</v>
      </c>
      <c r="M34" s="29">
        <v>400000</v>
      </c>
      <c r="N34" s="48">
        <v>1</v>
      </c>
      <c r="O34" s="29">
        <v>328000000</v>
      </c>
      <c r="P34" s="30">
        <f>O34*(J34)</f>
        <v>42065258.450260893</v>
      </c>
      <c r="Q34" s="28">
        <v>3.5000000000000003E-2</v>
      </c>
      <c r="R34" s="30">
        <f t="shared" si="56"/>
        <v>1472284.0457591314</v>
      </c>
      <c r="S34" s="30" t="s">
        <v>1471</v>
      </c>
      <c r="T34" s="30">
        <f t="shared" ref="T34:T38" si="116">1/J34</f>
        <v>7.7974084097887131</v>
      </c>
      <c r="U34" s="30">
        <f t="shared" ref="U34:V34" si="117">T34/0.1</f>
        <v>77.974084097887129</v>
      </c>
      <c r="V34" s="30">
        <f t="shared" si="117"/>
        <v>779.74084097887123</v>
      </c>
      <c r="W34" s="76">
        <f>1-J34</f>
        <v>0.87175226082237534</v>
      </c>
      <c r="X34" s="76">
        <f t="shared" ref="X34:X38" si="118">1-0.1*J34</f>
        <v>0.98717522608223751</v>
      </c>
      <c r="Y34" s="76">
        <f>1-0.1*0.1*J34</f>
        <v>0.99871752260822377</v>
      </c>
      <c r="Z34" s="76">
        <v>0</v>
      </c>
      <c r="AA34" s="76">
        <v>1</v>
      </c>
      <c r="AB34" s="28" t="s">
        <v>1465</v>
      </c>
      <c r="AD34" s="31">
        <f>-J34/J$35</f>
        <v>-3.8021295996285933</v>
      </c>
      <c r="AE34" s="31">
        <f t="shared" ref="AE34:AE38" si="119">-K34/K$25</f>
        <v>-60.834073594057493</v>
      </c>
      <c r="AF34" t="s">
        <v>1635</v>
      </c>
    </row>
    <row r="35" spans="1:32" s="148" customFormat="1" x14ac:dyDescent="0.25">
      <c r="A35" s="147">
        <v>1</v>
      </c>
      <c r="B35" s="149">
        <v>366</v>
      </c>
      <c r="C35" s="150">
        <f>$H$49</f>
        <v>0.02</v>
      </c>
      <c r="D35" s="149">
        <v>3600</v>
      </c>
      <c r="E35" s="148">
        <f t="shared" si="91"/>
        <v>1</v>
      </c>
      <c r="F35" s="151">
        <f>A35*B35*C35*D35</f>
        <v>26352</v>
      </c>
      <c r="G35" s="151">
        <f t="shared" si="113"/>
        <v>768000</v>
      </c>
      <c r="H35" s="152" t="s">
        <v>1468</v>
      </c>
      <c r="I35" s="153" t="s">
        <v>239</v>
      </c>
      <c r="J35" s="154">
        <f t="shared" si="114"/>
        <v>3.37305017667342E-2</v>
      </c>
      <c r="K35" s="155">
        <f>J35</f>
        <v>3.37305017667342E-2</v>
      </c>
      <c r="L35" s="151">
        <f t="shared" si="115"/>
        <v>1600000</v>
      </c>
      <c r="M35" s="156">
        <v>400000</v>
      </c>
      <c r="N35" s="157">
        <v>4</v>
      </c>
      <c r="O35" s="156">
        <v>328000000</v>
      </c>
      <c r="P35" s="151">
        <f>O35*(J35)</f>
        <v>11063604.579488818</v>
      </c>
      <c r="Q35" s="149">
        <f t="shared" ref="Q35:Q38" si="120">Q34</f>
        <v>3.5000000000000003E-2</v>
      </c>
      <c r="R35" s="151">
        <f t="shared" si="56"/>
        <v>387226.16028210864</v>
      </c>
      <c r="S35" s="151" t="s">
        <v>1472</v>
      </c>
      <c r="T35" s="30">
        <f t="shared" si="116"/>
        <v>29.646757315250586</v>
      </c>
      <c r="U35" s="30">
        <f t="shared" ref="U35:V35" si="121">T35/0.1</f>
        <v>296.46757315250585</v>
      </c>
      <c r="V35" s="30">
        <f t="shared" si="121"/>
        <v>2964.6757315250584</v>
      </c>
      <c r="W35" s="76">
        <f>1-J35</f>
        <v>0.9662694982332658</v>
      </c>
      <c r="X35" s="76">
        <f t="shared" si="118"/>
        <v>0.99662694982332656</v>
      </c>
      <c r="Y35" s="76">
        <f>1-0.1*0.1*J35</f>
        <v>0.99966269498233262</v>
      </c>
      <c r="Z35" s="76">
        <v>0</v>
      </c>
      <c r="AA35" s="76">
        <v>1</v>
      </c>
      <c r="AB35" s="149" t="s">
        <v>1465</v>
      </c>
      <c r="AD35" s="147">
        <f>J$35/J35</f>
        <v>1</v>
      </c>
      <c r="AE35" s="147">
        <f t="shared" si="119"/>
        <v>-16</v>
      </c>
      <c r="AF35" s="148" t="s">
        <v>1636</v>
      </c>
    </row>
    <row r="36" spans="1:32" x14ac:dyDescent="0.25">
      <c r="A36" s="31">
        <v>1</v>
      </c>
      <c r="B36" s="28">
        <v>366</v>
      </c>
      <c r="C36" s="77">
        <f>$H$49</f>
        <v>0.02</v>
      </c>
      <c r="D36" s="28">
        <v>3600</v>
      </c>
      <c r="E36">
        <f t="shared" si="91"/>
        <v>1</v>
      </c>
      <c r="F36" s="30">
        <f>A36*B36*C36*D36</f>
        <v>26352</v>
      </c>
      <c r="G36" s="30">
        <f t="shared" si="113"/>
        <v>7680000</v>
      </c>
      <c r="H36" s="78" t="s">
        <v>1468</v>
      </c>
      <c r="I36" s="89" t="s">
        <v>239</v>
      </c>
      <c r="J36" s="76">
        <f t="shared" ref="J36" si="122">(1-EXP(-F36/G36))</f>
        <v>3.4253699889039702E-3</v>
      </c>
      <c r="K36" s="57">
        <f>J36</f>
        <v>3.4253699889039702E-3</v>
      </c>
      <c r="L36" s="30">
        <f t="shared" si="115"/>
        <v>16000000</v>
      </c>
      <c r="M36" s="29">
        <v>400000</v>
      </c>
      <c r="N36" s="48">
        <v>40</v>
      </c>
      <c r="O36" s="29">
        <v>328000000</v>
      </c>
      <c r="P36" s="30">
        <f>O36*(J36)</f>
        <v>1123521.3563605023</v>
      </c>
      <c r="Q36" s="28">
        <f t="shared" si="120"/>
        <v>3.5000000000000003E-2</v>
      </c>
      <c r="R36" s="30">
        <f t="shared" ref="R36" si="123">P36*Q36</f>
        <v>39323.247472617586</v>
      </c>
      <c r="S36" s="30" t="s">
        <v>1474</v>
      </c>
      <c r="T36" s="30">
        <f t="shared" si="116"/>
        <v>291.93926590101705</v>
      </c>
      <c r="U36" s="30">
        <f t="shared" ref="U36:V36" si="124">T36/0.1</f>
        <v>2919.3926590101705</v>
      </c>
      <c r="V36" s="30">
        <f t="shared" si="124"/>
        <v>29193.926590101702</v>
      </c>
      <c r="W36" s="76">
        <f>1-J36</f>
        <v>0.99657463001109603</v>
      </c>
      <c r="X36" s="76">
        <f t="shared" si="118"/>
        <v>0.99965746300110958</v>
      </c>
      <c r="Y36" s="76">
        <f>1-0.1*0.1*J36</f>
        <v>0.99996574630011092</v>
      </c>
      <c r="Z36" s="76">
        <v>0</v>
      </c>
      <c r="AA36" s="76">
        <v>1</v>
      </c>
      <c r="AB36" s="28" t="s">
        <v>1465</v>
      </c>
      <c r="AD36" s="31">
        <f>J$35/J36</f>
        <v>9.8472579242533413</v>
      </c>
      <c r="AE36" s="31">
        <f t="shared" si="119"/>
        <v>-1.6248178044156576</v>
      </c>
      <c r="AF36" t="s">
        <v>1635</v>
      </c>
    </row>
    <row r="37" spans="1:32" x14ac:dyDescent="0.25">
      <c r="A37" s="31">
        <v>1</v>
      </c>
      <c r="B37" s="28">
        <v>366</v>
      </c>
      <c r="C37" s="77">
        <f>$H$49</f>
        <v>0.02</v>
      </c>
      <c r="D37" s="28">
        <f>3600*8</f>
        <v>28800</v>
      </c>
      <c r="E37">
        <f t="shared" si="91"/>
        <v>8</v>
      </c>
      <c r="F37" s="30">
        <f>A37*B37*C37*D37</f>
        <v>210816</v>
      </c>
      <c r="G37" s="30">
        <f t="shared" si="113"/>
        <v>768000</v>
      </c>
      <c r="H37" s="78" t="s">
        <v>1468</v>
      </c>
      <c r="I37" s="89" t="s">
        <v>239</v>
      </c>
      <c r="J37" s="76">
        <f t="shared" si="114"/>
        <v>0.24004799575107727</v>
      </c>
      <c r="K37" s="34">
        <f>J37</f>
        <v>0.24004799575107727</v>
      </c>
      <c r="L37" s="30">
        <f t="shared" si="115"/>
        <v>1600000</v>
      </c>
      <c r="M37" s="29">
        <v>400000</v>
      </c>
      <c r="N37" s="48">
        <v>4</v>
      </c>
      <c r="O37" s="29">
        <v>328000000</v>
      </c>
      <c r="P37" s="30">
        <f>O37*(J37)</f>
        <v>78735742.606353343</v>
      </c>
      <c r="Q37" s="28">
        <f t="shared" si="120"/>
        <v>3.5000000000000003E-2</v>
      </c>
      <c r="R37" s="30">
        <f t="shared" si="56"/>
        <v>2755750.9912223672</v>
      </c>
      <c r="S37" s="30" t="s">
        <v>1472</v>
      </c>
      <c r="T37" s="30">
        <f t="shared" si="116"/>
        <v>4.1658335737031971</v>
      </c>
      <c r="U37" s="30">
        <f t="shared" ref="U37:V37" si="125">T37/0.1</f>
        <v>41.658335737031969</v>
      </c>
      <c r="V37" s="30">
        <f t="shared" si="125"/>
        <v>416.58335737031967</v>
      </c>
      <c r="W37" s="76">
        <f>1-J37</f>
        <v>0.75995200424892273</v>
      </c>
      <c r="X37" s="76">
        <f t="shared" si="118"/>
        <v>0.9759952004248923</v>
      </c>
      <c r="Y37" s="76">
        <f>1-0.1*0.1*J37</f>
        <v>0.9975995200424892</v>
      </c>
      <c r="Z37" s="76">
        <v>0</v>
      </c>
      <c r="AA37" s="76">
        <v>1</v>
      </c>
      <c r="AB37" s="28" t="s">
        <v>1465</v>
      </c>
      <c r="AD37" s="31">
        <f>-J37/J$35</f>
        <v>-7.1166446740444922</v>
      </c>
      <c r="AE37" s="31">
        <f t="shared" si="119"/>
        <v>-113.86631478471188</v>
      </c>
      <c r="AF37" t="s">
        <v>1635</v>
      </c>
    </row>
    <row r="38" spans="1:32" x14ac:dyDescent="0.25">
      <c r="A38" s="31">
        <v>1</v>
      </c>
      <c r="B38" s="28">
        <v>366</v>
      </c>
      <c r="C38" s="77">
        <f>$H$49</f>
        <v>0.02</v>
      </c>
      <c r="D38" s="28">
        <f>3600*8</f>
        <v>28800</v>
      </c>
      <c r="E38">
        <f t="shared" si="91"/>
        <v>8</v>
      </c>
      <c r="F38" s="30">
        <f>A38*B38*C38*D38</f>
        <v>210816</v>
      </c>
      <c r="G38" s="30">
        <f t="shared" si="113"/>
        <v>7680000</v>
      </c>
      <c r="H38" s="78" t="s">
        <v>1468</v>
      </c>
      <c r="I38" s="89" t="s">
        <v>239</v>
      </c>
      <c r="J38" s="76">
        <f t="shared" ref="J38" si="126">(1-EXP(-F38/G38))</f>
        <v>2.7076672496304743E-2</v>
      </c>
      <c r="K38" s="34">
        <f>J38</f>
        <v>2.7076672496304743E-2</v>
      </c>
      <c r="L38" s="30">
        <f t="shared" si="115"/>
        <v>16000000</v>
      </c>
      <c r="M38" s="29">
        <v>400000</v>
      </c>
      <c r="N38" s="48">
        <v>40</v>
      </c>
      <c r="O38" s="29">
        <v>328000000</v>
      </c>
      <c r="P38" s="30">
        <f>O38*(J38)</f>
        <v>8881148.5787879564</v>
      </c>
      <c r="Q38" s="28">
        <f t="shared" si="120"/>
        <v>3.5000000000000003E-2</v>
      </c>
      <c r="R38" s="30">
        <f t="shared" ref="R38" si="127">P38*Q38</f>
        <v>310840.20025757852</v>
      </c>
      <c r="S38" s="30" t="s">
        <v>1474</v>
      </c>
      <c r="T38" s="30">
        <f t="shared" si="116"/>
        <v>36.93215996671946</v>
      </c>
      <c r="U38" s="30">
        <f t="shared" ref="U38:V38" si="128">T38/0.1</f>
        <v>369.32159966719456</v>
      </c>
      <c r="V38" s="30">
        <f t="shared" si="128"/>
        <v>3693.2159966719455</v>
      </c>
      <c r="W38" s="76">
        <f>1-J38</f>
        <v>0.97292332750369526</v>
      </c>
      <c r="X38" s="76">
        <f t="shared" si="118"/>
        <v>0.99729233275036955</v>
      </c>
      <c r="Y38" s="76">
        <f>1-0.1*0.1*J38</f>
        <v>0.99972923327503693</v>
      </c>
      <c r="Z38" s="76">
        <v>0</v>
      </c>
      <c r="AA38" s="76">
        <v>1</v>
      </c>
      <c r="AB38" s="28" t="s">
        <v>1465</v>
      </c>
      <c r="AD38" s="31">
        <f>K$35/K38</f>
        <v>1.2457402870067409</v>
      </c>
      <c r="AE38" s="31">
        <f t="shared" si="119"/>
        <v>-12.843768614439472</v>
      </c>
      <c r="AF38" t="s">
        <v>1635</v>
      </c>
    </row>
    <row r="39" spans="1:32" x14ac:dyDescent="0.25">
      <c r="C39" s="77"/>
      <c r="D39" s="28"/>
      <c r="F39" s="30"/>
      <c r="G39" s="29"/>
      <c r="H39" s="78"/>
      <c r="I39" s="78"/>
      <c r="J39" s="76"/>
      <c r="K39" s="76"/>
      <c r="L39" s="30"/>
      <c r="M39" s="29"/>
      <c r="N39" s="46"/>
      <c r="O39" s="29"/>
      <c r="P39" s="30"/>
      <c r="R39" s="30"/>
      <c r="S39" s="30"/>
      <c r="T39" s="30"/>
      <c r="U39" s="30"/>
      <c r="V39" s="30"/>
      <c r="W39" s="30"/>
      <c r="X39" s="30"/>
      <c r="Y39" s="30"/>
      <c r="Z39" s="30"/>
      <c r="AA39" s="30"/>
      <c r="AD39" s="28"/>
      <c r="AE39" s="28"/>
    </row>
    <row r="40" spans="1:32" s="93" customFormat="1" x14ac:dyDescent="0.25">
      <c r="A40" s="90">
        <v>1</v>
      </c>
      <c r="B40" s="91">
        <v>366</v>
      </c>
      <c r="C40" s="92">
        <f t="shared" ref="C40:C45" si="129">$H$49</f>
        <v>0.02</v>
      </c>
      <c r="D40" s="91">
        <f t="shared" ref="D40:D41" si="130">3600*4</f>
        <v>14400</v>
      </c>
      <c r="E40" s="93">
        <f>D40/3600</f>
        <v>4</v>
      </c>
      <c r="F40" s="94">
        <f t="shared" ref="F40:F45" si="131">A40*B40*C40*D40</f>
        <v>105408</v>
      </c>
      <c r="G40" s="94">
        <f t="shared" ref="G40:G45" si="132">L40*12*12*12/3600</f>
        <v>18662400</v>
      </c>
      <c r="H40" s="100" t="s">
        <v>1468</v>
      </c>
      <c r="I40" s="95" t="s">
        <v>239</v>
      </c>
      <c r="J40" s="96">
        <f t="shared" ref="J40" si="133">(1-EXP(-F40/G40))</f>
        <v>5.6322273478456308E-3</v>
      </c>
      <c r="K40" s="97">
        <f t="shared" ref="K40:K45" si="134">J40</f>
        <v>5.6322273478456308E-3</v>
      </c>
      <c r="L40" s="94">
        <f t="shared" ref="L40:L45" si="135">M40*N40</f>
        <v>38880000</v>
      </c>
      <c r="M40" s="98">
        <v>10800</v>
      </c>
      <c r="N40" s="99">
        <v>3600</v>
      </c>
      <c r="O40" s="98">
        <v>328000000</v>
      </c>
      <c r="P40" s="94">
        <f t="shared" ref="P40:P45" si="136">O40*(J40)</f>
        <v>1847370.570093367</v>
      </c>
      <c r="Q40" s="91">
        <v>3.5000000000000003E-2</v>
      </c>
      <c r="R40" s="94">
        <f t="shared" ref="R40" si="137">P40*Q40</f>
        <v>64657.96995326785</v>
      </c>
      <c r="S40" s="94" t="s">
        <v>1477</v>
      </c>
      <c r="T40" s="30">
        <f t="shared" ref="T40:T45" si="138">1/J40</f>
        <v>177.54965100663196</v>
      </c>
      <c r="U40" s="30">
        <f t="shared" ref="U40" si="139">T40/0.1</f>
        <v>1775.4965100663196</v>
      </c>
      <c r="V40" s="291" t="s">
        <v>836</v>
      </c>
      <c r="W40" s="76">
        <f t="shared" ref="W40:W45" si="140">1-J40</f>
        <v>0.99436777265215437</v>
      </c>
      <c r="X40" s="76">
        <f t="shared" ref="X40:X45" si="141">1-0.1*J40</f>
        <v>0.9994367772652154</v>
      </c>
      <c r="Y40" s="291" t="s">
        <v>836</v>
      </c>
      <c r="Z40" s="76">
        <v>0</v>
      </c>
      <c r="AA40" s="76">
        <v>1</v>
      </c>
      <c r="AB40" s="91" t="s">
        <v>1480</v>
      </c>
      <c r="AD40" s="90">
        <f>K$35/K40</f>
        <v>5.9888388169622395</v>
      </c>
      <c r="AE40" s="90">
        <f t="shared" ref="AE40:AE41" si="142">-K40/K$25</f>
        <v>-2.67163643721435</v>
      </c>
      <c r="AF40" s="93" t="s">
        <v>1633</v>
      </c>
    </row>
    <row r="41" spans="1:32" s="93" customFormat="1" x14ac:dyDescent="0.25">
      <c r="A41" s="90">
        <v>1</v>
      </c>
      <c r="B41" s="91">
        <v>366</v>
      </c>
      <c r="C41" s="92">
        <f t="shared" si="129"/>
        <v>0.02</v>
      </c>
      <c r="D41" s="91">
        <f t="shared" si="130"/>
        <v>14400</v>
      </c>
      <c r="E41" s="93">
        <f>D41/3600</f>
        <v>4</v>
      </c>
      <c r="F41" s="94">
        <f t="shared" si="131"/>
        <v>105408</v>
      </c>
      <c r="G41" s="94">
        <f t="shared" si="132"/>
        <v>93312000</v>
      </c>
      <c r="H41" s="100" t="s">
        <v>1468</v>
      </c>
      <c r="I41" s="95" t="s">
        <v>239</v>
      </c>
      <c r="J41" s="96">
        <f t="shared" ref="J41" si="143">(1-EXP(-F41/G41))</f>
        <v>1.1289918382582087E-3</v>
      </c>
      <c r="K41" s="101">
        <f t="shared" si="134"/>
        <v>1.1289918382582087E-3</v>
      </c>
      <c r="L41" s="94">
        <f t="shared" si="135"/>
        <v>194400000</v>
      </c>
      <c r="M41" s="98">
        <v>10800</v>
      </c>
      <c r="N41" s="90">
        <f>N40*5</f>
        <v>18000</v>
      </c>
      <c r="O41" s="98">
        <v>328000000</v>
      </c>
      <c r="P41" s="94">
        <f t="shared" si="136"/>
        <v>370309.32294869248</v>
      </c>
      <c r="Q41" s="91">
        <f t="shared" ref="Q41:Q45" si="144">Q40</f>
        <v>3.5000000000000003E-2</v>
      </c>
      <c r="R41" s="94">
        <f t="shared" ref="R41" si="145">P41*Q41</f>
        <v>12960.826303204238</v>
      </c>
      <c r="S41" s="94" t="s">
        <v>1479</v>
      </c>
      <c r="T41" s="30">
        <f t="shared" si="138"/>
        <v>885.7459957751197</v>
      </c>
      <c r="U41" s="30">
        <f t="shared" ref="U41" si="146">T41/0.1</f>
        <v>8857.4599577511963</v>
      </c>
      <c r="V41" s="291" t="s">
        <v>836</v>
      </c>
      <c r="W41" s="76">
        <f t="shared" si="140"/>
        <v>0.99887100816174179</v>
      </c>
      <c r="X41" s="76">
        <f t="shared" si="141"/>
        <v>0.99988710081617416</v>
      </c>
      <c r="Y41" s="291" t="s">
        <v>836</v>
      </c>
      <c r="Z41" s="76">
        <v>0</v>
      </c>
      <c r="AA41" s="76">
        <v>1</v>
      </c>
      <c r="AB41" s="91" t="s">
        <v>1480</v>
      </c>
      <c r="AD41" s="90">
        <f t="shared" ref="AD41:AD45" si="147">K$35/K41</f>
        <v>29.876656875370418</v>
      </c>
      <c r="AE41" s="90">
        <f t="shared" si="142"/>
        <v>-0.53553515263583606</v>
      </c>
      <c r="AF41" s="93" t="s">
        <v>1633</v>
      </c>
    </row>
    <row r="42" spans="1:32" s="93" customFormat="1" x14ac:dyDescent="0.25">
      <c r="A42" s="90">
        <v>1</v>
      </c>
      <c r="B42" s="91">
        <v>366</v>
      </c>
      <c r="C42" s="92">
        <f t="shared" si="129"/>
        <v>0.02</v>
      </c>
      <c r="D42" s="91">
        <f>3600*4</f>
        <v>14400</v>
      </c>
      <c r="E42" s="93">
        <f t="shared" si="91"/>
        <v>4</v>
      </c>
      <c r="F42" s="94">
        <f t="shared" si="131"/>
        <v>105408</v>
      </c>
      <c r="G42" s="94">
        <f t="shared" si="132"/>
        <v>691200000</v>
      </c>
      <c r="H42" s="100" t="s">
        <v>1468</v>
      </c>
      <c r="I42" s="95" t="s">
        <v>239</v>
      </c>
      <c r="J42" s="96">
        <f t="shared" ref="J42" si="148">(1-EXP(-F42/G42))</f>
        <v>1.5248837246606417E-4</v>
      </c>
      <c r="K42" s="101">
        <f t="shared" si="134"/>
        <v>1.5248837246606417E-4</v>
      </c>
      <c r="L42" s="94">
        <f t="shared" si="135"/>
        <v>1440000000</v>
      </c>
      <c r="M42" s="98">
        <v>400000</v>
      </c>
      <c r="N42" s="99">
        <v>3600</v>
      </c>
      <c r="O42" s="98">
        <v>328000000</v>
      </c>
      <c r="P42" s="94">
        <f t="shared" si="136"/>
        <v>50016.186168869048</v>
      </c>
      <c r="Q42" s="91">
        <f t="shared" si="144"/>
        <v>3.5000000000000003E-2</v>
      </c>
      <c r="R42" s="94">
        <f t="shared" ref="R42" si="149">P42*Q42</f>
        <v>1750.5665159104169</v>
      </c>
      <c r="S42" s="94" t="s">
        <v>1477</v>
      </c>
      <c r="T42" s="30">
        <f t="shared" si="138"/>
        <v>6557.8770618890758</v>
      </c>
      <c r="U42" s="30">
        <f t="shared" ref="U42" si="150">T42/0.1</f>
        <v>65578.770618890747</v>
      </c>
      <c r="V42" s="291" t="s">
        <v>836</v>
      </c>
      <c r="W42" s="76">
        <f t="shared" si="140"/>
        <v>0.99984751162753394</v>
      </c>
      <c r="X42" s="76">
        <f t="shared" si="141"/>
        <v>0.99998475116275343</v>
      </c>
      <c r="Y42" s="291" t="s">
        <v>836</v>
      </c>
      <c r="Z42" s="76">
        <v>0</v>
      </c>
      <c r="AA42" s="76">
        <v>1</v>
      </c>
      <c r="AB42" s="91" t="s">
        <v>1478</v>
      </c>
      <c r="AD42" s="90">
        <f t="shared" si="147"/>
        <v>221.20048382207517</v>
      </c>
      <c r="AE42" s="90">
        <f t="shared" ref="AE42:AE45" si="151">K$25/K42</f>
        <v>13.825030238879698</v>
      </c>
      <c r="AF42" s="93" t="s">
        <v>1634</v>
      </c>
    </row>
    <row r="43" spans="1:32" s="283" customFormat="1" x14ac:dyDescent="0.25">
      <c r="A43" s="280">
        <v>1</v>
      </c>
      <c r="B43" s="281">
        <v>366</v>
      </c>
      <c r="C43" s="282">
        <f t="shared" si="129"/>
        <v>0.02</v>
      </c>
      <c r="D43" s="281">
        <f>3600*4</f>
        <v>14400</v>
      </c>
      <c r="E43" s="283">
        <f t="shared" ref="E43:E44" si="152">D43/3600</f>
        <v>4</v>
      </c>
      <c r="F43" s="284">
        <f t="shared" si="131"/>
        <v>105408</v>
      </c>
      <c r="G43" s="284">
        <f t="shared" si="132"/>
        <v>3456000000</v>
      </c>
      <c r="H43" s="285" t="s">
        <v>1468</v>
      </c>
      <c r="I43" s="286" t="s">
        <v>239</v>
      </c>
      <c r="J43" s="287">
        <f t="shared" ref="J43:J44" si="153">(1-EXP(-F43/G43))</f>
        <v>3.0499534879768753E-5</v>
      </c>
      <c r="K43" s="288">
        <f t="shared" si="134"/>
        <v>3.0499534879768753E-5</v>
      </c>
      <c r="L43" s="284">
        <f t="shared" si="135"/>
        <v>7200000000</v>
      </c>
      <c r="M43" s="289">
        <v>400000</v>
      </c>
      <c r="N43" s="280">
        <f>N42*5</f>
        <v>18000</v>
      </c>
      <c r="O43" s="289">
        <v>328000000</v>
      </c>
      <c r="P43" s="284">
        <f t="shared" si="136"/>
        <v>10003.84744056415</v>
      </c>
      <c r="Q43" s="281">
        <f t="shared" si="144"/>
        <v>3.5000000000000003E-2</v>
      </c>
      <c r="R43" s="284">
        <f t="shared" ref="R43:R44" si="154">P43*Q43</f>
        <v>350.13466041974527</v>
      </c>
      <c r="S43" s="284" t="s">
        <v>1479</v>
      </c>
      <c r="T43" s="30">
        <f t="shared" si="138"/>
        <v>32787.385248400285</v>
      </c>
      <c r="U43" s="30">
        <f t="shared" ref="U43" si="155">T43/0.1</f>
        <v>327873.85248400283</v>
      </c>
      <c r="V43" s="291" t="s">
        <v>836</v>
      </c>
      <c r="W43" s="76">
        <f t="shared" si="140"/>
        <v>0.99996950046512023</v>
      </c>
      <c r="X43" s="76">
        <f t="shared" si="141"/>
        <v>0.99999695004651201</v>
      </c>
      <c r="Y43" s="291" t="s">
        <v>836</v>
      </c>
      <c r="Z43" s="76">
        <v>0</v>
      </c>
      <c r="AA43" s="76">
        <v>1</v>
      </c>
      <c r="AB43" s="281" t="s">
        <v>1478</v>
      </c>
      <c r="AD43" s="280">
        <f t="shared" si="147"/>
        <v>1105.9349560477608</v>
      </c>
      <c r="AE43" s="280">
        <f t="shared" si="151"/>
        <v>69.12093475298505</v>
      </c>
      <c r="AF43" s="283" t="s">
        <v>1634</v>
      </c>
    </row>
    <row r="44" spans="1:32" s="283" customFormat="1" x14ac:dyDescent="0.25">
      <c r="A44" s="280">
        <v>1</v>
      </c>
      <c r="B44" s="281">
        <v>366</v>
      </c>
      <c r="C44" s="282">
        <f t="shared" si="129"/>
        <v>0.02</v>
      </c>
      <c r="D44" s="281">
        <f>3600*4</f>
        <v>14400</v>
      </c>
      <c r="E44" s="283">
        <f t="shared" si="152"/>
        <v>4</v>
      </c>
      <c r="F44" s="284">
        <f t="shared" si="131"/>
        <v>105408</v>
      </c>
      <c r="G44" s="284">
        <f t="shared" si="132"/>
        <v>6912000000</v>
      </c>
      <c r="H44" s="285" t="s">
        <v>1468</v>
      </c>
      <c r="I44" s="286" t="s">
        <v>239</v>
      </c>
      <c r="J44" s="287">
        <f t="shared" si="153"/>
        <v>1.5249883719370416E-5</v>
      </c>
      <c r="K44" s="288">
        <f t="shared" si="134"/>
        <v>1.5249883719370416E-5</v>
      </c>
      <c r="L44" s="284">
        <f t="shared" si="135"/>
        <v>14400000000</v>
      </c>
      <c r="M44" s="289">
        <f>100*1000*40</f>
        <v>4000000</v>
      </c>
      <c r="N44" s="290">
        <v>3600</v>
      </c>
      <c r="O44" s="289">
        <v>328000000</v>
      </c>
      <c r="P44" s="284">
        <f t="shared" si="136"/>
        <v>5001.961859953497</v>
      </c>
      <c r="Q44" s="281">
        <f t="shared" si="144"/>
        <v>3.5000000000000003E-2</v>
      </c>
      <c r="R44" s="284">
        <f t="shared" si="154"/>
        <v>175.06866509837241</v>
      </c>
      <c r="S44" s="284" t="s">
        <v>1477</v>
      </c>
      <c r="T44" s="30">
        <f t="shared" si="138"/>
        <v>65574.270492948024</v>
      </c>
      <c r="U44" s="30">
        <f t="shared" ref="U44" si="156">T44/0.1</f>
        <v>655742.70492948021</v>
      </c>
      <c r="V44" s="291" t="s">
        <v>836</v>
      </c>
      <c r="W44" s="76">
        <f t="shared" si="140"/>
        <v>0.99998475011628063</v>
      </c>
      <c r="X44" s="76">
        <f t="shared" si="141"/>
        <v>0.99999847501162809</v>
      </c>
      <c r="Y44" s="291" t="s">
        <v>836</v>
      </c>
      <c r="Z44" s="76">
        <v>0</v>
      </c>
      <c r="AA44" s="76">
        <v>1</v>
      </c>
      <c r="AB44" s="281" t="s">
        <v>1481</v>
      </c>
      <c r="AD44" s="280">
        <f t="shared" si="147"/>
        <v>2211.8530467146898</v>
      </c>
      <c r="AE44" s="280">
        <f t="shared" si="151"/>
        <v>138.24081541966811</v>
      </c>
      <c r="AF44" s="283" t="s">
        <v>1632</v>
      </c>
    </row>
    <row r="45" spans="1:32" s="283" customFormat="1" x14ac:dyDescent="0.25">
      <c r="A45" s="280">
        <v>1</v>
      </c>
      <c r="B45" s="281">
        <v>366</v>
      </c>
      <c r="C45" s="282">
        <f t="shared" si="129"/>
        <v>0.02</v>
      </c>
      <c r="D45" s="281">
        <f>3600*4</f>
        <v>14400</v>
      </c>
      <c r="E45" s="283">
        <f t="shared" ref="E45" si="157">D45/3600</f>
        <v>4</v>
      </c>
      <c r="F45" s="284">
        <f t="shared" si="131"/>
        <v>105408</v>
      </c>
      <c r="G45" s="284">
        <f t="shared" si="132"/>
        <v>34560000000</v>
      </c>
      <c r="H45" s="285" t="s">
        <v>1468</v>
      </c>
      <c r="I45" s="286" t="s">
        <v>239</v>
      </c>
      <c r="J45" s="287">
        <f t="shared" ref="J45" si="158">(1-EXP(-F45/G45))</f>
        <v>3.0499953487250764E-6</v>
      </c>
      <c r="K45" s="288">
        <f t="shared" si="134"/>
        <v>3.0499953487250764E-6</v>
      </c>
      <c r="L45" s="284">
        <f t="shared" si="135"/>
        <v>72000000000</v>
      </c>
      <c r="M45" s="289">
        <f>100*1000*40</f>
        <v>4000000</v>
      </c>
      <c r="N45" s="280">
        <f>N44*5</f>
        <v>18000</v>
      </c>
      <c r="O45" s="289">
        <v>328000000</v>
      </c>
      <c r="P45" s="284">
        <f t="shared" si="136"/>
        <v>1000.3984743818251</v>
      </c>
      <c r="Q45" s="281">
        <f t="shared" si="144"/>
        <v>3.5000000000000003E-2</v>
      </c>
      <c r="R45" s="284">
        <f t="shared" ref="R45" si="159">P45*Q45</f>
        <v>35.013946603363877</v>
      </c>
      <c r="S45" s="284" t="s">
        <v>1479</v>
      </c>
      <c r="T45" s="30">
        <f t="shared" si="138"/>
        <v>327869.35246245813</v>
      </c>
      <c r="U45" s="30">
        <f t="shared" ref="U45" si="160">T45/0.1</f>
        <v>3278693.524624581</v>
      </c>
      <c r="V45" s="291" t="s">
        <v>836</v>
      </c>
      <c r="W45" s="76">
        <f t="shared" si="140"/>
        <v>0.99999695000465127</v>
      </c>
      <c r="X45" s="76">
        <f t="shared" si="141"/>
        <v>0.99999969500046515</v>
      </c>
      <c r="Y45" s="291" t="s">
        <v>836</v>
      </c>
      <c r="Z45" s="76">
        <v>0</v>
      </c>
      <c r="AA45" s="76">
        <v>1</v>
      </c>
      <c r="AB45" s="281" t="s">
        <v>1481</v>
      </c>
      <c r="AD45" s="280">
        <f t="shared" si="147"/>
        <v>11059.197772492942</v>
      </c>
      <c r="AE45" s="280">
        <f t="shared" si="151"/>
        <v>691.19986078080888</v>
      </c>
      <c r="AF45" s="283" t="s">
        <v>1632</v>
      </c>
    </row>
    <row r="46" spans="1:32" x14ac:dyDescent="0.25">
      <c r="C46" s="77"/>
      <c r="D46" s="28"/>
      <c r="F46" s="30"/>
      <c r="G46" s="29"/>
      <c r="H46" s="78"/>
      <c r="I46" s="78"/>
      <c r="J46" s="277">
        <f>1/J45</f>
        <v>327869.35246245813</v>
      </c>
      <c r="K46" s="276">
        <f>J45</f>
        <v>3.0499953487250764E-6</v>
      </c>
      <c r="L46" s="30" t="s">
        <v>2507</v>
      </c>
      <c r="M46" s="29"/>
      <c r="N46" s="46"/>
      <c r="O46" s="29"/>
      <c r="P46" s="30"/>
      <c r="R46" s="30"/>
      <c r="S46" s="30"/>
      <c r="T46" s="277"/>
      <c r="U46" s="277"/>
      <c r="V46" s="277"/>
      <c r="W46" s="277"/>
      <c r="X46" s="30"/>
      <c r="Y46" s="30"/>
      <c r="Z46" s="30"/>
      <c r="AA46" s="30"/>
      <c r="AD46" s="31"/>
      <c r="AE46" s="31"/>
    </row>
    <row r="47" spans="1:32" x14ac:dyDescent="0.25">
      <c r="C47" s="77"/>
      <c r="F47" s="30"/>
      <c r="G47" s="30"/>
      <c r="H47" s="30"/>
      <c r="I47" s="55"/>
      <c r="J47" s="277">
        <f>1/(J45*0.035)</f>
        <v>9367695.7846416607</v>
      </c>
      <c r="K47" s="76"/>
      <c r="L47" s="30" t="s">
        <v>2508</v>
      </c>
      <c r="M47" s="29"/>
      <c r="N47" s="46"/>
      <c r="O47" s="29"/>
      <c r="P47" s="30"/>
      <c r="R47" s="30"/>
      <c r="S47" s="30"/>
      <c r="T47" s="277"/>
      <c r="U47" s="277"/>
      <c r="V47" s="277"/>
      <c r="W47" s="277"/>
      <c r="X47" s="30"/>
      <c r="Y47" s="30"/>
      <c r="Z47" s="30"/>
      <c r="AA47" s="30"/>
    </row>
    <row r="48" spans="1:32" s="2" customFormat="1" ht="30" x14ac:dyDescent="0.25">
      <c r="A48" s="87"/>
      <c r="B48" s="79"/>
      <c r="D48" s="42" t="s">
        <v>1482</v>
      </c>
      <c r="E48" s="42" t="s">
        <v>1462</v>
      </c>
      <c r="F48" s="42" t="s">
        <v>841</v>
      </c>
      <c r="G48" s="42" t="s">
        <v>1463</v>
      </c>
      <c r="H48" s="42" t="s">
        <v>1456</v>
      </c>
      <c r="I48" s="42"/>
      <c r="M48" s="79"/>
      <c r="O48" s="79"/>
      <c r="Q48" s="79"/>
      <c r="AB48" s="79"/>
    </row>
    <row r="49" spans="4:28" x14ac:dyDescent="0.25">
      <c r="D49">
        <v>1000</v>
      </c>
      <c r="E49">
        <v>20</v>
      </c>
      <c r="F49">
        <v>1</v>
      </c>
      <c r="G49">
        <f>D49/(E49*F49)</f>
        <v>50</v>
      </c>
      <c r="H49" s="77">
        <f>F49/G49</f>
        <v>0.02</v>
      </c>
      <c r="I49" s="78"/>
      <c r="AB49" s="28" t="s">
        <v>1464</v>
      </c>
    </row>
    <row r="50" spans="4:28" x14ac:dyDescent="0.25">
      <c r="AB50" s="28" t="s">
        <v>1450</v>
      </c>
    </row>
    <row r="51" spans="4:28" ht="15.75" x14ac:dyDescent="0.25">
      <c r="D51" s="32" t="s">
        <v>1385</v>
      </c>
      <c r="E51" s="32" t="s">
        <v>1386</v>
      </c>
      <c r="F51" s="32" t="s">
        <v>261</v>
      </c>
      <c r="G51" s="32" t="s">
        <v>1414</v>
      </c>
      <c r="AB51" s="61" t="s">
        <v>1441</v>
      </c>
    </row>
    <row r="52" spans="4:28" ht="15.75" x14ac:dyDescent="0.25">
      <c r="D52">
        <v>30</v>
      </c>
      <c r="E52">
        <v>30</v>
      </c>
      <c r="F52">
        <v>12</v>
      </c>
      <c r="G52" s="30">
        <f>D52*E52*F52</f>
        <v>10800</v>
      </c>
      <c r="AB52" s="61" t="s">
        <v>1443</v>
      </c>
    </row>
    <row r="53" spans="4:28" ht="15.75" x14ac:dyDescent="0.25">
      <c r="D53">
        <v>100</v>
      </c>
      <c r="E53">
        <v>100</v>
      </c>
      <c r="F53">
        <v>40</v>
      </c>
      <c r="G53" s="30">
        <f>D53*E53*F53</f>
        <v>400000</v>
      </c>
      <c r="AB53" s="61" t="s">
        <v>1443</v>
      </c>
    </row>
    <row r="54" spans="4:28" ht="15.75" x14ac:dyDescent="0.25">
      <c r="D54">
        <v>1000</v>
      </c>
      <c r="E54">
        <v>100</v>
      </c>
      <c r="F54">
        <v>40</v>
      </c>
      <c r="G54" s="30">
        <f>D54*E54*F54</f>
        <v>4000000</v>
      </c>
      <c r="AB54" s="61" t="s">
        <v>1444</v>
      </c>
    </row>
    <row r="55" spans="4:28" ht="15.75" x14ac:dyDescent="0.25">
      <c r="AB55" s="61" t="s">
        <v>1445</v>
      </c>
    </row>
    <row r="56" spans="4:28" ht="30" x14ac:dyDescent="0.25">
      <c r="D56" s="79" t="s">
        <v>1487</v>
      </c>
      <c r="E56" s="32" t="s">
        <v>1488</v>
      </c>
      <c r="F56" s="32" t="s">
        <v>1489</v>
      </c>
      <c r="G56" s="32" t="s">
        <v>1490</v>
      </c>
      <c r="H56" s="32" t="s">
        <v>264</v>
      </c>
      <c r="I56" s="32" t="s">
        <v>1268</v>
      </c>
      <c r="J56" s="32"/>
      <c r="K56" s="32"/>
      <c r="T56" s="32"/>
      <c r="U56" s="32"/>
      <c r="V56" s="32"/>
      <c r="W56" s="32"/>
      <c r="AB56" s="61" t="s">
        <v>1442</v>
      </c>
    </row>
    <row r="57" spans="4:28" ht="15.75" x14ac:dyDescent="0.25">
      <c r="D57" s="28">
        <v>6</v>
      </c>
      <c r="E57" s="30">
        <f>30*30</f>
        <v>900</v>
      </c>
      <c r="F57" s="31">
        <f>E57/(D57*D57)</f>
        <v>25</v>
      </c>
      <c r="G57" s="28">
        <v>0.1</v>
      </c>
      <c r="H57" s="31">
        <f>F57*G57</f>
        <v>2.5</v>
      </c>
      <c r="I57"/>
      <c r="AB57" s="61" t="s">
        <v>1446</v>
      </c>
    </row>
    <row r="58" spans="4:28" ht="15.75" x14ac:dyDescent="0.25">
      <c r="D58" s="28">
        <v>6</v>
      </c>
      <c r="E58" s="30">
        <f>100*100</f>
        <v>10000</v>
      </c>
      <c r="F58" s="30">
        <f t="shared" ref="F58:F59" si="161">E58/(D58*D58)</f>
        <v>277.77777777777777</v>
      </c>
      <c r="G58" s="28">
        <v>0.1</v>
      </c>
      <c r="H58" s="30">
        <f t="shared" ref="H58:H59" si="162">F58*G58</f>
        <v>27.777777777777779</v>
      </c>
      <c r="I58"/>
      <c r="AB58" s="61" t="s">
        <v>1446</v>
      </c>
    </row>
    <row r="59" spans="4:28" ht="15.75" x14ac:dyDescent="0.25">
      <c r="D59" s="28">
        <v>6</v>
      </c>
      <c r="E59" s="30">
        <f>100*1000</f>
        <v>100000</v>
      </c>
      <c r="F59" s="30">
        <f t="shared" si="161"/>
        <v>2777.7777777777778</v>
      </c>
      <c r="G59" s="28">
        <v>0.1</v>
      </c>
      <c r="H59" s="30">
        <f t="shared" si="162"/>
        <v>277.77777777777777</v>
      </c>
      <c r="I59" t="s">
        <v>1491</v>
      </c>
      <c r="AB59" s="61" t="s">
        <v>1447</v>
      </c>
    </row>
    <row r="60" spans="4:28" ht="15.75" x14ac:dyDescent="0.25">
      <c r="I60"/>
      <c r="AB60" s="61" t="s">
        <v>1448</v>
      </c>
    </row>
    <row r="61" spans="4:28" ht="15.75" x14ac:dyDescent="0.25">
      <c r="D61" s="28">
        <v>16</v>
      </c>
      <c r="E61" s="30">
        <f>30*30</f>
        <v>900</v>
      </c>
      <c r="F61" s="31">
        <f>E61/(D61*D61)</f>
        <v>3.515625</v>
      </c>
      <c r="G61" s="28">
        <v>0.1</v>
      </c>
      <c r="H61" s="80">
        <f>F61*G61</f>
        <v>0.3515625</v>
      </c>
      <c r="I61"/>
      <c r="AB61" s="61" t="s">
        <v>1449</v>
      </c>
    </row>
    <row r="62" spans="4:28" x14ac:dyDescent="0.25">
      <c r="D62" s="28">
        <v>16</v>
      </c>
      <c r="E62" s="30">
        <f>100*100</f>
        <v>10000</v>
      </c>
      <c r="F62" s="30">
        <f t="shared" ref="F62:F63" si="163">E62/(D62*D62)</f>
        <v>39.0625</v>
      </c>
      <c r="G62" s="28">
        <v>0.1</v>
      </c>
      <c r="H62" s="30">
        <f t="shared" ref="H62:H63" si="164">F62*G62</f>
        <v>3.90625</v>
      </c>
      <c r="I62"/>
    </row>
    <row r="63" spans="4:28" x14ac:dyDescent="0.25">
      <c r="D63" s="28">
        <v>16</v>
      </c>
      <c r="E63" s="30">
        <f>100*1000</f>
        <v>100000</v>
      </c>
      <c r="F63" s="30">
        <f t="shared" si="163"/>
        <v>390.625</v>
      </c>
      <c r="G63" s="28">
        <v>0.1</v>
      </c>
      <c r="H63" s="30">
        <f t="shared" si="164"/>
        <v>39.0625</v>
      </c>
      <c r="I63" t="s">
        <v>1491</v>
      </c>
    </row>
  </sheetData>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4C877-AFF5-484A-9D49-E54CA22DFB36}">
  <dimension ref="A1:I8"/>
  <sheetViews>
    <sheetView workbookViewId="0">
      <selection activeCell="D10" sqref="D10"/>
    </sheetView>
  </sheetViews>
  <sheetFormatPr defaultRowHeight="15" x14ac:dyDescent="0.25"/>
  <sheetData>
    <row r="1" spans="1:9" x14ac:dyDescent="0.25">
      <c r="A1" t="s">
        <v>4514</v>
      </c>
    </row>
    <row r="2" spans="1:9" x14ac:dyDescent="0.25">
      <c r="A2" t="s">
        <v>4515</v>
      </c>
    </row>
    <row r="3" spans="1:9" x14ac:dyDescent="0.25">
      <c r="B3" s="47" t="s">
        <v>4423</v>
      </c>
      <c r="C3">
        <v>9</v>
      </c>
    </row>
    <row r="4" spans="1:9" s="2" customFormat="1" ht="30" x14ac:dyDescent="0.25">
      <c r="A4" s="2" t="s">
        <v>4516</v>
      </c>
      <c r="B4" s="2" t="s">
        <v>4517</v>
      </c>
      <c r="C4" s="2" t="s">
        <v>4518</v>
      </c>
      <c r="D4" s="2" t="s">
        <v>1475</v>
      </c>
      <c r="E4" s="2" t="s">
        <v>4519</v>
      </c>
      <c r="F4" s="2" t="s">
        <v>4431</v>
      </c>
      <c r="G4" s="2" t="s">
        <v>4520</v>
      </c>
    </row>
    <row r="5" spans="1:9" x14ac:dyDescent="0.25">
      <c r="A5" s="46">
        <v>0.5</v>
      </c>
      <c r="B5" s="46">
        <f>A5*3.28</f>
        <v>1.64</v>
      </c>
      <c r="C5" s="46">
        <f t="shared" ref="C5:C6" si="0">B5/C$3</f>
        <v>0.1822222222222222</v>
      </c>
      <c r="D5">
        <v>30</v>
      </c>
      <c r="E5" s="46">
        <v>0.5</v>
      </c>
      <c r="F5" s="46">
        <f>60/E5</f>
        <v>120</v>
      </c>
      <c r="G5" s="46">
        <f>C5*F5</f>
        <v>21.866666666666664</v>
      </c>
    </row>
    <row r="6" spans="1:9" x14ac:dyDescent="0.25">
      <c r="A6" s="46">
        <v>1.5</v>
      </c>
      <c r="B6" s="46">
        <f t="shared" ref="B6:B7" si="1">A6*3.28</f>
        <v>4.92</v>
      </c>
      <c r="C6" s="46">
        <f t="shared" si="0"/>
        <v>0.54666666666666663</v>
      </c>
      <c r="E6" s="46">
        <v>4.5</v>
      </c>
      <c r="F6" s="46">
        <f t="shared" ref="F6:F7" si="2">60/E6</f>
        <v>13.333333333333334</v>
      </c>
      <c r="G6" s="46">
        <f t="shared" ref="G6:G7" si="3">C6*F6</f>
        <v>7.2888888888888888</v>
      </c>
      <c r="H6" s="351"/>
    </row>
    <row r="7" spans="1:9" x14ac:dyDescent="0.25">
      <c r="A7" s="46">
        <v>2.5</v>
      </c>
      <c r="B7" s="46">
        <f t="shared" si="1"/>
        <v>8.1999999999999993</v>
      </c>
      <c r="C7" s="46">
        <f>B7/C$3</f>
        <v>0.91111111111111098</v>
      </c>
      <c r="E7" s="46">
        <v>12.4</v>
      </c>
      <c r="F7" s="46">
        <f t="shared" si="2"/>
        <v>4.838709677419355</v>
      </c>
      <c r="G7" s="352">
        <f t="shared" si="3"/>
        <v>4.408602150537634</v>
      </c>
      <c r="H7" s="46">
        <f>AVERAGE(G5:G6)</f>
        <v>14.577777777777776</v>
      </c>
      <c r="I7" t="s">
        <v>4521</v>
      </c>
    </row>
    <row r="8" spans="1:9" x14ac:dyDescent="0.25">
      <c r="G8" s="46">
        <f>AVERAGE(G5:G7)</f>
        <v>11.188052568697728</v>
      </c>
      <c r="I8" t="s">
        <v>4522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C0CE4-D7EC-4FD3-B994-FB843D097C5B}">
  <dimension ref="A2:E32"/>
  <sheetViews>
    <sheetView topLeftCell="A2" workbookViewId="0">
      <selection activeCell="A2" sqref="A2"/>
    </sheetView>
  </sheetViews>
  <sheetFormatPr defaultRowHeight="15" x14ac:dyDescent="0.25"/>
  <cols>
    <col min="1" max="1" width="32.7109375" bestFit="1" customWidth="1"/>
    <col min="2" max="3" width="11.140625" bestFit="1" customWidth="1"/>
    <col min="4" max="4" width="11" bestFit="1" customWidth="1"/>
  </cols>
  <sheetData>
    <row r="2" spans="1:5" x14ac:dyDescent="0.25">
      <c r="A2" t="s">
        <v>4504</v>
      </c>
    </row>
    <row r="3" spans="1:5" x14ac:dyDescent="0.25">
      <c r="E3" s="28" t="s">
        <v>1268</v>
      </c>
    </row>
    <row r="4" spans="1:5" x14ac:dyDescent="0.25">
      <c r="A4" t="s">
        <v>4494</v>
      </c>
      <c r="B4">
        <f>4*16</f>
        <v>64</v>
      </c>
      <c r="C4" t="s">
        <v>4511</v>
      </c>
    </row>
    <row r="5" spans="1:5" x14ac:dyDescent="0.25">
      <c r="A5" t="s">
        <v>4495</v>
      </c>
      <c r="B5">
        <f>3*10</f>
        <v>30</v>
      </c>
      <c r="C5" t="s">
        <v>4512</v>
      </c>
    </row>
    <row r="6" spans="1:5" x14ac:dyDescent="0.25">
      <c r="A6" t="s">
        <v>4510</v>
      </c>
      <c r="B6">
        <f>B4*B5</f>
        <v>1920</v>
      </c>
    </row>
    <row r="7" spans="1:5" x14ac:dyDescent="0.25">
      <c r="A7" t="s">
        <v>4496</v>
      </c>
      <c r="B7">
        <v>20</v>
      </c>
      <c r="C7" t="s">
        <v>4513</v>
      </c>
    </row>
    <row r="8" spans="1:5" x14ac:dyDescent="0.25">
      <c r="A8" t="s">
        <v>4501</v>
      </c>
      <c r="B8">
        <f>B6*B7</f>
        <v>38400</v>
      </c>
    </row>
    <row r="9" spans="1:5" x14ac:dyDescent="0.25">
      <c r="B9" t="s">
        <v>4502</v>
      </c>
      <c r="C9" t="s">
        <v>4503</v>
      </c>
    </row>
    <row r="10" spans="1:5" x14ac:dyDescent="0.25">
      <c r="A10" t="s">
        <v>4498</v>
      </c>
      <c r="B10">
        <v>3</v>
      </c>
      <c r="C10">
        <v>12</v>
      </c>
    </row>
    <row r="11" spans="1:5" x14ac:dyDescent="0.25">
      <c r="A11" t="s">
        <v>4497</v>
      </c>
      <c r="B11">
        <v>36</v>
      </c>
      <c r="C11">
        <v>36</v>
      </c>
    </row>
    <row r="12" spans="1:5" x14ac:dyDescent="0.25">
      <c r="A12" t="s">
        <v>4499</v>
      </c>
      <c r="B12">
        <v>6</v>
      </c>
      <c r="C12">
        <v>9</v>
      </c>
    </row>
    <row r="13" spans="1:5" x14ac:dyDescent="0.25">
      <c r="A13" t="s">
        <v>4508</v>
      </c>
      <c r="B13">
        <f>B10*B11*B12</f>
        <v>648</v>
      </c>
      <c r="C13">
        <f>C10*C11*C12</f>
        <v>3888</v>
      </c>
    </row>
    <row r="14" spans="1:5" x14ac:dyDescent="0.25">
      <c r="A14" t="s">
        <v>4509</v>
      </c>
      <c r="B14">
        <f>B13/(12*12)</f>
        <v>4.5</v>
      </c>
      <c r="C14">
        <f>C13/(12*12)</f>
        <v>27</v>
      </c>
    </row>
    <row r="15" spans="1:5" x14ac:dyDescent="0.25">
      <c r="A15" t="s">
        <v>4500</v>
      </c>
      <c r="B15">
        <v>200</v>
      </c>
      <c r="C15">
        <v>200</v>
      </c>
    </row>
    <row r="16" spans="1:5" x14ac:dyDescent="0.25">
      <c r="A16" t="s">
        <v>4505</v>
      </c>
      <c r="B16">
        <f>B14*B15</f>
        <v>900</v>
      </c>
      <c r="C16">
        <f>C14*C15</f>
        <v>5400</v>
      </c>
    </row>
    <row r="17" spans="1:4" x14ac:dyDescent="0.25">
      <c r="A17" t="s">
        <v>4506</v>
      </c>
      <c r="B17">
        <f>B16*60</f>
        <v>54000</v>
      </c>
      <c r="C17">
        <f>C16*60</f>
        <v>324000</v>
      </c>
    </row>
    <row r="18" spans="1:4" x14ac:dyDescent="0.25">
      <c r="A18" t="s">
        <v>4507</v>
      </c>
      <c r="D18">
        <f>B17+C17</f>
        <v>378000</v>
      </c>
    </row>
    <row r="20" spans="1:4" x14ac:dyDescent="0.25">
      <c r="A20" t="s">
        <v>4523</v>
      </c>
      <c r="B20">
        <f>D18/B8</f>
        <v>9.84375</v>
      </c>
    </row>
    <row r="22" spans="1:4" x14ac:dyDescent="0.25">
      <c r="A22" t="s">
        <v>4524</v>
      </c>
    </row>
    <row r="24" spans="1:4" x14ac:dyDescent="0.25">
      <c r="D24" s="28" t="s">
        <v>1268</v>
      </c>
    </row>
    <row r="25" spans="1:4" x14ac:dyDescent="0.25">
      <c r="A25" t="s">
        <v>4525</v>
      </c>
      <c r="B25" s="30">
        <v>7000000</v>
      </c>
      <c r="D25" t="s">
        <v>4526</v>
      </c>
    </row>
    <row r="26" spans="1:4" x14ac:dyDescent="0.25">
      <c r="A26" t="s">
        <v>4527</v>
      </c>
      <c r="B26">
        <v>20</v>
      </c>
    </row>
    <row r="27" spans="1:4" x14ac:dyDescent="0.25">
      <c r="A27" t="s">
        <v>4528</v>
      </c>
      <c r="B27" s="30">
        <f>B25*B26</f>
        <v>140000000</v>
      </c>
    </row>
    <row r="28" spans="1:4" x14ac:dyDescent="0.25">
      <c r="B28" s="30"/>
    </row>
    <row r="29" spans="1:4" x14ac:dyDescent="0.25">
      <c r="A29" t="s">
        <v>4529</v>
      </c>
      <c r="B29" s="30">
        <v>11000000</v>
      </c>
      <c r="D29" t="s">
        <v>4530</v>
      </c>
    </row>
    <row r="30" spans="1:4" x14ac:dyDescent="0.25">
      <c r="A30" t="s">
        <v>4531</v>
      </c>
      <c r="B30" s="30">
        <f>B29*60</f>
        <v>660000000</v>
      </c>
    </row>
    <row r="32" spans="1:4" x14ac:dyDescent="0.25">
      <c r="A32" t="s">
        <v>4532</v>
      </c>
      <c r="B32">
        <f>B30/B27</f>
        <v>4.7142857142857144</v>
      </c>
      <c r="D32">
        <f>(11000000*60)/(7000000*20)</f>
        <v>4.7142857142857144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CF888-8A1A-4499-A3F7-0D49E3CBEC44}">
  <dimension ref="A2:C55"/>
  <sheetViews>
    <sheetView workbookViewId="0"/>
  </sheetViews>
  <sheetFormatPr defaultRowHeight="15" x14ac:dyDescent="0.25"/>
  <cols>
    <col min="2" max="2" width="15.140625" bestFit="1" customWidth="1"/>
    <col min="3" max="3" width="15.5703125" bestFit="1" customWidth="1"/>
  </cols>
  <sheetData>
    <row r="2" spans="1:3" x14ac:dyDescent="0.25">
      <c r="A2" t="s">
        <v>4533</v>
      </c>
    </row>
    <row r="3" spans="1:3" x14ac:dyDescent="0.25">
      <c r="A3" t="s">
        <v>4534</v>
      </c>
    </row>
    <row r="4" spans="1:3" x14ac:dyDescent="0.25">
      <c r="A4" t="s">
        <v>4535</v>
      </c>
    </row>
    <row r="5" spans="1:3" x14ac:dyDescent="0.25">
      <c r="A5" t="s">
        <v>4536</v>
      </c>
    </row>
    <row r="7" spans="1:3" x14ac:dyDescent="0.25">
      <c r="A7" t="s">
        <v>4537</v>
      </c>
    </row>
    <row r="9" spans="1:3" ht="45" x14ac:dyDescent="0.25">
      <c r="A9" t="s">
        <v>1776</v>
      </c>
      <c r="B9" s="2" t="s">
        <v>4538</v>
      </c>
      <c r="C9" t="s">
        <v>4539</v>
      </c>
    </row>
    <row r="10" spans="1:3" x14ac:dyDescent="0.25">
      <c r="A10">
        <v>0</v>
      </c>
      <c r="B10" s="34">
        <v>1</v>
      </c>
      <c r="C10" s="34">
        <f t="shared" ref="C10:C55" si="0">1-B10</f>
        <v>0</v>
      </c>
    </row>
    <row r="11" spans="1:3" x14ac:dyDescent="0.25">
      <c r="A11">
        <f>A10+1</f>
        <v>1</v>
      </c>
      <c r="B11" s="34">
        <f>B10*0.63</f>
        <v>0.63</v>
      </c>
      <c r="C11" s="34">
        <f t="shared" si="0"/>
        <v>0.37</v>
      </c>
    </row>
    <row r="12" spans="1:3" x14ac:dyDescent="0.25">
      <c r="A12">
        <f t="shared" ref="A12:A55" si="1">A11+1</f>
        <v>2</v>
      </c>
      <c r="B12" s="34">
        <f t="shared" ref="B12:B55" si="2">B11*0.63</f>
        <v>0.39690000000000003</v>
      </c>
      <c r="C12" s="34">
        <f t="shared" si="0"/>
        <v>0.60309999999999997</v>
      </c>
    </row>
    <row r="13" spans="1:3" x14ac:dyDescent="0.25">
      <c r="A13">
        <f t="shared" si="1"/>
        <v>3</v>
      </c>
      <c r="B13" s="34">
        <f t="shared" si="2"/>
        <v>0.25004700000000002</v>
      </c>
      <c r="C13" s="34">
        <f t="shared" si="0"/>
        <v>0.74995299999999998</v>
      </c>
    </row>
    <row r="14" spans="1:3" x14ac:dyDescent="0.25">
      <c r="A14">
        <f t="shared" si="1"/>
        <v>4</v>
      </c>
      <c r="B14" s="34">
        <f t="shared" si="2"/>
        <v>0.15752961000000001</v>
      </c>
      <c r="C14" s="34">
        <f t="shared" si="0"/>
        <v>0.84247039000000001</v>
      </c>
    </row>
    <row r="15" spans="1:3" x14ac:dyDescent="0.25">
      <c r="A15">
        <f t="shared" si="1"/>
        <v>5</v>
      </c>
      <c r="B15" s="34">
        <f t="shared" si="2"/>
        <v>9.9243654300000012E-2</v>
      </c>
      <c r="C15" s="34">
        <f t="shared" si="0"/>
        <v>0.90075634569999996</v>
      </c>
    </row>
    <row r="16" spans="1:3" x14ac:dyDescent="0.25">
      <c r="A16">
        <f t="shared" si="1"/>
        <v>6</v>
      </c>
      <c r="B16" s="34">
        <f t="shared" si="2"/>
        <v>6.2523502209000006E-2</v>
      </c>
      <c r="C16" s="34">
        <f t="shared" si="0"/>
        <v>0.93747649779099995</v>
      </c>
    </row>
    <row r="17" spans="1:3" x14ac:dyDescent="0.25">
      <c r="A17">
        <f t="shared" si="1"/>
        <v>7</v>
      </c>
      <c r="B17" s="34">
        <f t="shared" si="2"/>
        <v>3.9389806391670001E-2</v>
      </c>
      <c r="C17" s="34">
        <f t="shared" si="0"/>
        <v>0.96061019360833</v>
      </c>
    </row>
    <row r="18" spans="1:3" x14ac:dyDescent="0.25">
      <c r="A18">
        <f t="shared" si="1"/>
        <v>8</v>
      </c>
      <c r="B18" s="34">
        <f t="shared" si="2"/>
        <v>2.4815578026752102E-2</v>
      </c>
      <c r="C18" s="34">
        <f t="shared" si="0"/>
        <v>0.97518442197324795</v>
      </c>
    </row>
    <row r="19" spans="1:3" x14ac:dyDescent="0.25">
      <c r="A19">
        <f t="shared" si="1"/>
        <v>9</v>
      </c>
      <c r="B19" s="34">
        <f t="shared" si="2"/>
        <v>1.5633814156853824E-2</v>
      </c>
      <c r="C19" s="34">
        <f t="shared" si="0"/>
        <v>0.98436618584314617</v>
      </c>
    </row>
    <row r="20" spans="1:3" x14ac:dyDescent="0.25">
      <c r="A20">
        <f t="shared" si="1"/>
        <v>10</v>
      </c>
      <c r="B20" s="34">
        <f t="shared" si="2"/>
        <v>9.8493029188179097E-3</v>
      </c>
      <c r="C20" s="34">
        <f t="shared" si="0"/>
        <v>0.99015069708118209</v>
      </c>
    </row>
    <row r="21" spans="1:3" x14ac:dyDescent="0.25">
      <c r="A21">
        <f t="shared" si="1"/>
        <v>11</v>
      </c>
      <c r="B21" s="34">
        <f t="shared" si="2"/>
        <v>6.2050608388552831E-3</v>
      </c>
      <c r="C21" s="34">
        <f t="shared" si="0"/>
        <v>0.9937949391611447</v>
      </c>
    </row>
    <row r="22" spans="1:3" x14ac:dyDescent="0.25">
      <c r="A22">
        <f t="shared" si="1"/>
        <v>12</v>
      </c>
      <c r="B22" s="57">
        <f t="shared" si="2"/>
        <v>3.9091883284788284E-3</v>
      </c>
      <c r="C22" s="34">
        <f t="shared" si="0"/>
        <v>0.99609081167152114</v>
      </c>
    </row>
    <row r="23" spans="1:3" x14ac:dyDescent="0.25">
      <c r="A23">
        <f t="shared" si="1"/>
        <v>13</v>
      </c>
      <c r="B23" s="57">
        <f t="shared" si="2"/>
        <v>2.4627886469416617E-3</v>
      </c>
      <c r="C23" s="34">
        <f t="shared" si="0"/>
        <v>0.99753721135305828</v>
      </c>
    </row>
    <row r="24" spans="1:3" x14ac:dyDescent="0.25">
      <c r="A24">
        <f t="shared" si="1"/>
        <v>14</v>
      </c>
      <c r="B24" s="57">
        <f t="shared" si="2"/>
        <v>1.551556847573247E-3</v>
      </c>
      <c r="C24" s="34">
        <f t="shared" si="0"/>
        <v>0.99844844315242676</v>
      </c>
    </row>
    <row r="25" spans="1:3" x14ac:dyDescent="0.25">
      <c r="A25">
        <f t="shared" si="1"/>
        <v>15</v>
      </c>
      <c r="B25" s="57">
        <f t="shared" si="2"/>
        <v>9.7748081397114567E-4</v>
      </c>
      <c r="C25" s="34">
        <f t="shared" si="0"/>
        <v>0.9990225191860288</v>
      </c>
    </row>
    <row r="26" spans="1:3" x14ac:dyDescent="0.25">
      <c r="A26">
        <f t="shared" si="1"/>
        <v>16</v>
      </c>
      <c r="B26" s="57">
        <f t="shared" si="2"/>
        <v>6.1581291280182174E-4</v>
      </c>
      <c r="C26" s="34">
        <f t="shared" si="0"/>
        <v>0.99938418708719823</v>
      </c>
    </row>
    <row r="27" spans="1:3" x14ac:dyDescent="0.25">
      <c r="A27">
        <f t="shared" si="1"/>
        <v>17</v>
      </c>
      <c r="B27" s="57">
        <f t="shared" si="2"/>
        <v>3.879621350651477E-4</v>
      </c>
      <c r="C27" s="34">
        <f t="shared" si="0"/>
        <v>0.9996120378649348</v>
      </c>
    </row>
    <row r="28" spans="1:3" x14ac:dyDescent="0.25">
      <c r="A28">
        <f t="shared" si="1"/>
        <v>18</v>
      </c>
      <c r="B28" s="57">
        <f t="shared" si="2"/>
        <v>2.4441614509104303E-4</v>
      </c>
      <c r="C28" s="34">
        <f t="shared" si="0"/>
        <v>0.99975558385490892</v>
      </c>
    </row>
    <row r="29" spans="1:3" x14ac:dyDescent="0.25">
      <c r="A29">
        <f t="shared" si="1"/>
        <v>19</v>
      </c>
      <c r="B29" s="57">
        <f t="shared" si="2"/>
        <v>1.539821714073571E-4</v>
      </c>
      <c r="C29" s="34">
        <f t="shared" si="0"/>
        <v>0.99984601782859261</v>
      </c>
    </row>
    <row r="30" spans="1:3" x14ac:dyDescent="0.25">
      <c r="A30">
        <f t="shared" si="1"/>
        <v>20</v>
      </c>
      <c r="B30" s="57">
        <f t="shared" si="2"/>
        <v>9.700876798663497E-5</v>
      </c>
      <c r="C30" s="34">
        <f t="shared" si="0"/>
        <v>0.99990299123201332</v>
      </c>
    </row>
    <row r="31" spans="1:3" x14ac:dyDescent="0.25">
      <c r="A31">
        <f t="shared" si="1"/>
        <v>21</v>
      </c>
      <c r="B31" s="57">
        <f t="shared" si="2"/>
        <v>6.1115523831580028E-5</v>
      </c>
      <c r="C31" s="34">
        <f t="shared" si="0"/>
        <v>0.99993888447616841</v>
      </c>
    </row>
    <row r="32" spans="1:3" x14ac:dyDescent="0.25">
      <c r="A32">
        <f t="shared" si="1"/>
        <v>22</v>
      </c>
      <c r="B32" s="57">
        <f t="shared" si="2"/>
        <v>3.8502780013895418E-5</v>
      </c>
      <c r="C32" s="34">
        <f t="shared" si="0"/>
        <v>0.99996149721998606</v>
      </c>
    </row>
    <row r="33" spans="1:3" x14ac:dyDescent="0.25">
      <c r="A33">
        <f t="shared" si="1"/>
        <v>23</v>
      </c>
      <c r="B33" s="57">
        <f t="shared" si="2"/>
        <v>2.4256751408754113E-5</v>
      </c>
      <c r="C33" s="34">
        <f t="shared" si="0"/>
        <v>0.99997574324859129</v>
      </c>
    </row>
    <row r="34" spans="1:3" x14ac:dyDescent="0.25">
      <c r="A34">
        <f t="shared" si="1"/>
        <v>24</v>
      </c>
      <c r="B34" s="354">
        <f t="shared" si="2"/>
        <v>1.5281753387515091E-5</v>
      </c>
      <c r="C34" s="34">
        <f t="shared" si="0"/>
        <v>0.9999847182466125</v>
      </c>
    </row>
    <row r="35" spans="1:3" x14ac:dyDescent="0.25">
      <c r="A35">
        <f t="shared" si="1"/>
        <v>25</v>
      </c>
      <c r="B35" s="57">
        <f t="shared" si="2"/>
        <v>9.6275046341345074E-6</v>
      </c>
      <c r="C35" s="34">
        <f t="shared" si="0"/>
        <v>0.99999037249536582</v>
      </c>
    </row>
    <row r="36" spans="1:3" x14ac:dyDescent="0.25">
      <c r="A36">
        <f t="shared" si="1"/>
        <v>26</v>
      </c>
      <c r="B36" s="57">
        <f t="shared" si="2"/>
        <v>6.0653279195047397E-6</v>
      </c>
      <c r="C36" s="34">
        <f t="shared" si="0"/>
        <v>0.99999393467208053</v>
      </c>
    </row>
    <row r="37" spans="1:3" x14ac:dyDescent="0.25">
      <c r="A37">
        <f t="shared" si="1"/>
        <v>27</v>
      </c>
      <c r="B37" s="57">
        <f t="shared" si="2"/>
        <v>3.821156589287986E-6</v>
      </c>
      <c r="C37" s="34">
        <f t="shared" si="0"/>
        <v>0.99999617884341074</v>
      </c>
    </row>
    <row r="38" spans="1:3" x14ac:dyDescent="0.25">
      <c r="A38">
        <f t="shared" si="1"/>
        <v>28</v>
      </c>
      <c r="B38" s="57">
        <f t="shared" si="2"/>
        <v>2.4073286512514312E-6</v>
      </c>
      <c r="C38" s="34">
        <f t="shared" si="0"/>
        <v>0.9999975926713488</v>
      </c>
    </row>
    <row r="39" spans="1:3" x14ac:dyDescent="0.25">
      <c r="A39">
        <f t="shared" si="1"/>
        <v>29</v>
      </c>
      <c r="B39" s="57">
        <f t="shared" si="2"/>
        <v>1.5166170502884016E-6</v>
      </c>
      <c r="C39" s="34">
        <f t="shared" si="0"/>
        <v>0.99999848338294972</v>
      </c>
    </row>
    <row r="40" spans="1:3" x14ac:dyDescent="0.25">
      <c r="A40">
        <f t="shared" si="1"/>
        <v>30</v>
      </c>
      <c r="B40" s="57">
        <f t="shared" si="2"/>
        <v>9.5546874168169297E-7</v>
      </c>
      <c r="C40" s="34">
        <f t="shared" si="0"/>
        <v>0.99999904453125832</v>
      </c>
    </row>
    <row r="41" spans="1:3" x14ac:dyDescent="0.25">
      <c r="A41">
        <f t="shared" si="1"/>
        <v>31</v>
      </c>
      <c r="B41" s="57">
        <f t="shared" si="2"/>
        <v>6.0194530725946656E-7</v>
      </c>
      <c r="C41" s="34">
        <f t="shared" si="0"/>
        <v>0.99999939805469273</v>
      </c>
    </row>
    <row r="42" spans="1:3" x14ac:dyDescent="0.25">
      <c r="A42">
        <f t="shared" si="1"/>
        <v>32</v>
      </c>
      <c r="B42" s="57">
        <f t="shared" si="2"/>
        <v>3.7922554357346393E-7</v>
      </c>
      <c r="C42" s="34">
        <f t="shared" si="0"/>
        <v>0.99999962077445648</v>
      </c>
    </row>
    <row r="43" spans="1:3" x14ac:dyDescent="0.25">
      <c r="A43">
        <f t="shared" si="1"/>
        <v>33</v>
      </c>
      <c r="B43" s="57">
        <f t="shared" si="2"/>
        <v>2.389120924512823E-7</v>
      </c>
      <c r="C43" s="34">
        <f t="shared" si="0"/>
        <v>0.99999976108790756</v>
      </c>
    </row>
    <row r="44" spans="1:3" x14ac:dyDescent="0.25">
      <c r="A44">
        <f t="shared" si="1"/>
        <v>34</v>
      </c>
      <c r="B44" s="57">
        <f t="shared" si="2"/>
        <v>1.5051461824430785E-7</v>
      </c>
      <c r="C44" s="34">
        <f t="shared" si="0"/>
        <v>0.99999984948538179</v>
      </c>
    </row>
    <row r="45" spans="1:3" x14ac:dyDescent="0.25">
      <c r="A45">
        <f t="shared" si="1"/>
        <v>35</v>
      </c>
      <c r="B45" s="57">
        <f t="shared" si="2"/>
        <v>9.4824209493913944E-8</v>
      </c>
      <c r="C45" s="34">
        <f t="shared" si="0"/>
        <v>0.99999990517579052</v>
      </c>
    </row>
    <row r="46" spans="1:3" x14ac:dyDescent="0.25">
      <c r="A46">
        <f t="shared" si="1"/>
        <v>36</v>
      </c>
      <c r="B46" s="57">
        <f t="shared" si="2"/>
        <v>5.973925198116579E-8</v>
      </c>
      <c r="C46" s="34">
        <f t="shared" si="0"/>
        <v>0.99999994026074801</v>
      </c>
    </row>
    <row r="47" spans="1:3" x14ac:dyDescent="0.25">
      <c r="A47">
        <f t="shared" si="1"/>
        <v>37</v>
      </c>
      <c r="B47" s="57">
        <f t="shared" si="2"/>
        <v>3.7635728748134445E-8</v>
      </c>
      <c r="C47" s="34">
        <f t="shared" si="0"/>
        <v>0.99999996236427124</v>
      </c>
    </row>
    <row r="48" spans="1:3" x14ac:dyDescent="0.25">
      <c r="A48">
        <f t="shared" si="1"/>
        <v>38</v>
      </c>
      <c r="B48" s="57">
        <f t="shared" si="2"/>
        <v>2.3710509111324702E-8</v>
      </c>
      <c r="C48" s="34">
        <f t="shared" si="0"/>
        <v>0.99999997628949089</v>
      </c>
    </row>
    <row r="49" spans="1:3" x14ac:dyDescent="0.25">
      <c r="A49">
        <f t="shared" si="1"/>
        <v>39</v>
      </c>
      <c r="B49" s="57">
        <f t="shared" si="2"/>
        <v>1.4937620740134563E-8</v>
      </c>
      <c r="C49" s="34">
        <f t="shared" si="0"/>
        <v>0.9999999850623793</v>
      </c>
    </row>
    <row r="50" spans="1:3" x14ac:dyDescent="0.25">
      <c r="A50">
        <f t="shared" si="1"/>
        <v>40</v>
      </c>
      <c r="B50" s="57">
        <f t="shared" si="2"/>
        <v>9.4107010662847747E-9</v>
      </c>
      <c r="C50" s="34">
        <f t="shared" si="0"/>
        <v>0.99999999058929889</v>
      </c>
    </row>
    <row r="51" spans="1:3" x14ac:dyDescent="0.25">
      <c r="A51">
        <f t="shared" si="1"/>
        <v>41</v>
      </c>
      <c r="B51" s="57">
        <f t="shared" si="2"/>
        <v>5.9287416717594079E-9</v>
      </c>
      <c r="C51" s="34">
        <f t="shared" si="0"/>
        <v>0.99999999407125828</v>
      </c>
    </row>
    <row r="52" spans="1:3" x14ac:dyDescent="0.25">
      <c r="A52">
        <f t="shared" si="1"/>
        <v>42</v>
      </c>
      <c r="B52" s="57">
        <f t="shared" si="2"/>
        <v>3.7351072532084271E-9</v>
      </c>
      <c r="C52" s="34">
        <f t="shared" si="0"/>
        <v>0.99999999626489278</v>
      </c>
    </row>
    <row r="53" spans="1:3" x14ac:dyDescent="0.25">
      <c r="A53">
        <f t="shared" si="1"/>
        <v>43</v>
      </c>
      <c r="B53" s="57">
        <f t="shared" si="2"/>
        <v>2.3531175695213089E-9</v>
      </c>
      <c r="C53" s="34">
        <f t="shared" si="0"/>
        <v>0.99999999764688241</v>
      </c>
    </row>
    <row r="54" spans="1:3" x14ac:dyDescent="0.25">
      <c r="A54">
        <f t="shared" si="1"/>
        <v>44</v>
      </c>
      <c r="B54" s="57">
        <f t="shared" si="2"/>
        <v>1.4824640687984246E-9</v>
      </c>
      <c r="C54" s="34">
        <f t="shared" si="0"/>
        <v>0.99999999851753596</v>
      </c>
    </row>
    <row r="55" spans="1:3" x14ac:dyDescent="0.25">
      <c r="A55">
        <f t="shared" si="1"/>
        <v>45</v>
      </c>
      <c r="B55" s="57">
        <f t="shared" si="2"/>
        <v>9.3395236334300747E-10</v>
      </c>
      <c r="C55" s="34">
        <f t="shared" si="0"/>
        <v>0.99999999906604764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vt:i4>
      </vt:variant>
    </vt:vector>
  </HeadingPairs>
  <TitlesOfParts>
    <vt:vector size="57" baseType="lpstr">
      <vt:lpstr>Cover</vt:lpstr>
      <vt:lpstr> Odds 2%</vt:lpstr>
      <vt:lpstr> Odds 15%</vt:lpstr>
      <vt:lpstr>Probability 2022 2%</vt:lpstr>
      <vt:lpstr> Probability 2022 15%</vt:lpstr>
      <vt:lpstr>Probability</vt:lpstr>
      <vt:lpstr>eACH</vt:lpstr>
      <vt:lpstr>ACH Calc</vt:lpstr>
      <vt:lpstr>ACH Virus</vt:lpstr>
      <vt:lpstr>Ventilation</vt:lpstr>
      <vt:lpstr>death rates</vt:lpstr>
      <vt:lpstr>VentAlt</vt:lpstr>
      <vt:lpstr>Test Templates</vt:lpstr>
      <vt:lpstr>Drum Tests</vt:lpstr>
      <vt:lpstr>Ops Tests</vt:lpstr>
      <vt:lpstr>Airlines</vt:lpstr>
      <vt:lpstr>Vol Ratios</vt:lpstr>
      <vt:lpstr>Booster</vt:lpstr>
      <vt:lpstr>HEPA</vt:lpstr>
      <vt:lpstr>PCO Ionizers</vt:lpstr>
      <vt:lpstr>2021</vt:lpstr>
      <vt:lpstr>Hospitals</vt:lpstr>
      <vt:lpstr>Vac BTI</vt:lpstr>
      <vt:lpstr>Flu</vt:lpstr>
      <vt:lpstr>cost benefit</vt:lpstr>
      <vt:lpstr>ACH CML</vt:lpstr>
      <vt:lpstr>Dilution</vt:lpstr>
      <vt:lpstr>Outside P</vt:lpstr>
      <vt:lpstr>CFR</vt:lpstr>
      <vt:lpstr>Telework</vt:lpstr>
      <vt:lpstr>Arch Trade</vt:lpstr>
      <vt:lpstr>Perf Dec 28</vt:lpstr>
      <vt:lpstr>Airplane R0</vt:lpstr>
      <vt:lpstr>Travel</vt:lpstr>
      <vt:lpstr>V Dist</vt:lpstr>
      <vt:lpstr>UV Design</vt:lpstr>
      <vt:lpstr>Heat</vt:lpstr>
      <vt:lpstr>HVAC Design</vt:lpstr>
      <vt:lpstr>Fans</vt:lpstr>
      <vt:lpstr>Concentration</vt:lpstr>
      <vt:lpstr>2020-2</vt:lpstr>
      <vt:lpstr>2020-1</vt:lpstr>
      <vt:lpstr>Life Expect</vt:lpstr>
      <vt:lpstr>Schools</vt:lpstr>
      <vt:lpstr>Droplet Dispersion</vt:lpstr>
      <vt:lpstr>Diffusion</vt:lpstr>
      <vt:lpstr>Marathon</vt:lpstr>
      <vt:lpstr>Public Transit</vt:lpstr>
      <vt:lpstr>Country</vt:lpstr>
      <vt:lpstr>Systems sort C</vt:lpstr>
      <vt:lpstr>Systems sort E</vt:lpstr>
      <vt:lpstr>Systems sort F</vt:lpstr>
      <vt:lpstr>architectures</vt:lpstr>
      <vt:lpstr>home protocols</vt:lpstr>
      <vt:lpstr>mental model</vt:lpstr>
      <vt:lpstr>Risk</vt:lpstr>
      <vt:lpstr>'Ops Tests'!OLE_LINK1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Cassbeth</dc:creator>
  <cp:lastModifiedBy> walt</cp:lastModifiedBy>
  <dcterms:created xsi:type="dcterms:W3CDTF">2015-06-05T18:17:20Z</dcterms:created>
  <dcterms:modified xsi:type="dcterms:W3CDTF">2023-04-18T13:26:03Z</dcterms:modified>
</cp:coreProperties>
</file>