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z-places\Elizandra\Cassbeth\climate-change\lib\"/>
    </mc:Choice>
  </mc:AlternateContent>
  <xr:revisionPtr revIDLastSave="0" documentId="13_ncr:1_{E7A0302B-A698-466C-B533-25EA16FDC388}" xr6:coauthVersionLast="47" xr6:coauthVersionMax="47" xr10:uidLastSave="{00000000-0000-0000-0000-000000000000}"/>
  <bookViews>
    <workbookView xWindow="-120" yWindow="-120" windowWidth="20730" windowHeight="11310" activeTab="5" xr2:uid="{FA1B7B72-B9C8-4D32-98AE-529E7DE34BE8}"/>
  </bookViews>
  <sheets>
    <sheet name="Cover" sheetId="4" r:id="rId1"/>
    <sheet name="House" sheetId="1" r:id="rId2"/>
    <sheet name="Rooms" sheetId="2" r:id="rId3"/>
    <sheet name="Lighting" sheetId="3" r:id="rId4"/>
    <sheet name="QII Costs" sheetId="5" r:id="rId5"/>
    <sheet name="Roof Solar" sheetId="6" r:id="rId6"/>
  </sheets>
  <calcPr calcId="191029" iterateCount="1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6" l="1"/>
  <c r="B11" i="6"/>
  <c r="B10" i="6"/>
  <c r="B9" i="6"/>
  <c r="B8" i="6"/>
  <c r="B7" i="6"/>
  <c r="B6" i="6"/>
  <c r="B5" i="6"/>
  <c r="B4" i="6"/>
  <c r="B3" i="6"/>
  <c r="G12" i="5"/>
  <c r="E24" i="5"/>
  <c r="E23" i="5"/>
  <c r="F20" i="5"/>
  <c r="C23" i="5"/>
  <c r="D23" i="5"/>
  <c r="B4" i="5"/>
  <c r="D12" i="5"/>
  <c r="E12" i="5"/>
  <c r="D13" i="5"/>
  <c r="G13" i="5"/>
  <c r="D14" i="5"/>
  <c r="G14" i="5"/>
  <c r="D15" i="5"/>
  <c r="E15" i="5"/>
  <c r="G15" i="5"/>
  <c r="G20" i="5"/>
  <c r="C24" i="5"/>
  <c r="D24" i="5"/>
  <c r="D7" i="5"/>
  <c r="F7" i="5"/>
  <c r="D8" i="5"/>
  <c r="F8" i="5"/>
  <c r="D10" i="5"/>
  <c r="F10" i="5"/>
  <c r="F9" i="5"/>
  <c r="F17" i="5"/>
  <c r="G18" i="5"/>
  <c r="K7" i="2"/>
  <c r="K6" i="2"/>
  <c r="K5" i="2"/>
  <c r="K4" i="2"/>
  <c r="K3" i="2"/>
  <c r="E6" i="3"/>
  <c r="C26" i="2"/>
  <c r="F26" i="2"/>
  <c r="G26" i="2"/>
  <c r="D32" i="2"/>
  <c r="D33" i="2"/>
  <c r="D34" i="2"/>
  <c r="D35" i="2"/>
  <c r="D36" i="2"/>
  <c r="D37" i="2"/>
  <c r="D38" i="2"/>
  <c r="D39" i="2"/>
  <c r="D40" i="2"/>
  <c r="D41" i="2"/>
  <c r="D42" i="2"/>
  <c r="B32" i="2"/>
  <c r="B33" i="2"/>
  <c r="B34" i="2"/>
  <c r="B35" i="2"/>
  <c r="B36" i="2"/>
  <c r="B37" i="2"/>
  <c r="B38" i="2"/>
  <c r="B39" i="2"/>
  <c r="B40" i="2"/>
  <c r="B41" i="2"/>
  <c r="B42" i="2"/>
  <c r="C42" i="2"/>
  <c r="E42" i="2"/>
  <c r="G42" i="2"/>
  <c r="H42" i="2"/>
  <c r="I42" i="2"/>
  <c r="C41" i="2"/>
  <c r="E41" i="2"/>
  <c r="G41" i="2"/>
  <c r="H41" i="2"/>
  <c r="I41" i="2"/>
  <c r="C40" i="2"/>
  <c r="E40" i="2"/>
  <c r="G40" i="2"/>
  <c r="H40" i="2"/>
  <c r="I40" i="2"/>
  <c r="C39" i="2"/>
  <c r="E39" i="2"/>
  <c r="G39" i="2"/>
  <c r="H39" i="2"/>
  <c r="I39" i="2"/>
  <c r="C38" i="2"/>
  <c r="E38" i="2"/>
  <c r="G38" i="2"/>
  <c r="H38" i="2"/>
  <c r="I38" i="2"/>
  <c r="C37" i="2"/>
  <c r="E37" i="2"/>
  <c r="G37" i="2"/>
  <c r="H37" i="2"/>
  <c r="I37" i="2"/>
  <c r="C36" i="2"/>
  <c r="E36" i="2"/>
  <c r="G36" i="2"/>
  <c r="H36" i="2"/>
  <c r="I36" i="2"/>
  <c r="C35" i="2"/>
  <c r="E35" i="2"/>
  <c r="G35" i="2"/>
  <c r="H35" i="2"/>
  <c r="I35" i="2"/>
  <c r="C34" i="2"/>
  <c r="E34" i="2"/>
  <c r="G34" i="2"/>
  <c r="H34" i="2"/>
  <c r="I34" i="2"/>
  <c r="C33" i="2"/>
  <c r="E33" i="2"/>
  <c r="G33" i="2"/>
  <c r="H33" i="2"/>
  <c r="I33" i="2"/>
  <c r="C32" i="2"/>
  <c r="E32" i="2"/>
  <c r="G32" i="2"/>
  <c r="H32" i="2"/>
  <c r="I32" i="2"/>
  <c r="C31" i="2"/>
  <c r="E31" i="2"/>
  <c r="G31" i="2"/>
  <c r="H31" i="2"/>
  <c r="I31" i="2"/>
  <c r="B47" i="2"/>
  <c r="D48" i="2"/>
  <c r="D49" i="2"/>
  <c r="D50" i="2"/>
  <c r="D51" i="2"/>
  <c r="D52" i="2"/>
  <c r="D53" i="2"/>
  <c r="D54" i="2"/>
  <c r="D55" i="2"/>
  <c r="D56" i="2"/>
  <c r="D57" i="2"/>
  <c r="D58" i="2"/>
  <c r="B48" i="2"/>
  <c r="B49" i="2"/>
  <c r="B50" i="2"/>
  <c r="B51" i="2"/>
  <c r="B52" i="2"/>
  <c r="B53" i="2"/>
  <c r="B54" i="2"/>
  <c r="B55" i="2"/>
  <c r="B56" i="2"/>
  <c r="B57" i="2"/>
  <c r="B58" i="2"/>
  <c r="C58" i="2"/>
  <c r="E58" i="2"/>
  <c r="G58" i="2"/>
  <c r="H58" i="2"/>
  <c r="F58" i="2"/>
  <c r="C57" i="2"/>
  <c r="E57" i="2"/>
  <c r="G57" i="2"/>
  <c r="H57" i="2"/>
  <c r="F57" i="2"/>
  <c r="C56" i="2"/>
  <c r="E56" i="2"/>
  <c r="G56" i="2"/>
  <c r="H56" i="2"/>
  <c r="F56" i="2"/>
  <c r="C55" i="2"/>
  <c r="E55" i="2"/>
  <c r="G55" i="2"/>
  <c r="H55" i="2"/>
  <c r="F55" i="2"/>
  <c r="C54" i="2"/>
  <c r="E54" i="2"/>
  <c r="G54" i="2"/>
  <c r="H54" i="2"/>
  <c r="F54" i="2"/>
  <c r="C53" i="2"/>
  <c r="E53" i="2"/>
  <c r="G53" i="2"/>
  <c r="H53" i="2"/>
  <c r="F53" i="2"/>
  <c r="C52" i="2"/>
  <c r="E52" i="2"/>
  <c r="G52" i="2"/>
  <c r="H52" i="2"/>
  <c r="F52" i="2"/>
  <c r="C51" i="2"/>
  <c r="E51" i="2"/>
  <c r="G51" i="2"/>
  <c r="H51" i="2"/>
  <c r="F51" i="2"/>
  <c r="C50" i="2"/>
  <c r="E50" i="2"/>
  <c r="G50" i="2"/>
  <c r="H50" i="2"/>
  <c r="F50" i="2"/>
  <c r="C49" i="2"/>
  <c r="E49" i="2"/>
  <c r="G49" i="2"/>
  <c r="H49" i="2"/>
  <c r="F49" i="2"/>
  <c r="C48" i="2"/>
  <c r="E48" i="2"/>
  <c r="G48" i="2"/>
  <c r="H48" i="2"/>
  <c r="F48" i="2"/>
  <c r="C47" i="2"/>
  <c r="E47" i="2"/>
  <c r="G47" i="2"/>
  <c r="H47" i="2"/>
  <c r="F47" i="2"/>
  <c r="F42" i="2"/>
  <c r="F41" i="2"/>
  <c r="F40" i="2"/>
  <c r="F39" i="2"/>
  <c r="F38" i="2"/>
  <c r="F37" i="2"/>
  <c r="F36" i="2"/>
  <c r="F35" i="2"/>
  <c r="F34" i="2"/>
  <c r="F33" i="2"/>
  <c r="F32" i="2"/>
  <c r="F31" i="2"/>
  <c r="C25" i="2"/>
  <c r="F25" i="2"/>
  <c r="G25" i="2"/>
  <c r="D12" i="2"/>
  <c r="D13" i="2"/>
  <c r="D14" i="2"/>
  <c r="D15" i="2"/>
  <c r="D16" i="2"/>
  <c r="D17" i="2"/>
  <c r="D18" i="2"/>
  <c r="D19" i="2"/>
  <c r="D20" i="2"/>
  <c r="D21" i="2"/>
  <c r="D22" i="2"/>
  <c r="C22" i="2"/>
  <c r="E22" i="2"/>
  <c r="F22" i="2"/>
  <c r="G22" i="2"/>
  <c r="C21" i="2"/>
  <c r="E21" i="2"/>
  <c r="F21" i="2"/>
  <c r="G21" i="2"/>
  <c r="C20" i="2"/>
  <c r="E20" i="2"/>
  <c r="F20" i="2"/>
  <c r="G20" i="2"/>
  <c r="C19" i="2"/>
  <c r="E19" i="2"/>
  <c r="F19" i="2"/>
  <c r="G19" i="2"/>
  <c r="C18" i="2"/>
  <c r="E18" i="2"/>
  <c r="F18" i="2"/>
  <c r="G18" i="2"/>
  <c r="C17" i="2"/>
  <c r="E17" i="2"/>
  <c r="F17" i="2"/>
  <c r="G17" i="2"/>
  <c r="C16" i="2"/>
  <c r="E16" i="2"/>
  <c r="F16" i="2"/>
  <c r="G16" i="2"/>
  <c r="C15" i="2"/>
  <c r="E15" i="2"/>
  <c r="F15" i="2"/>
  <c r="G15" i="2"/>
  <c r="C14" i="2"/>
  <c r="E14" i="2"/>
  <c r="F14" i="2"/>
  <c r="G14" i="2"/>
  <c r="C13" i="2"/>
  <c r="E13" i="2"/>
  <c r="F13" i="2"/>
  <c r="G13" i="2"/>
  <c r="C12" i="2"/>
  <c r="E12" i="2"/>
  <c r="F12" i="2"/>
  <c r="G12" i="2"/>
  <c r="C11" i="2"/>
  <c r="E11" i="2"/>
  <c r="F11" i="2"/>
  <c r="G11" i="2"/>
  <c r="B7" i="2"/>
  <c r="C7" i="2"/>
  <c r="E7" i="2"/>
  <c r="I7" i="2"/>
  <c r="H7" i="2"/>
  <c r="J7" i="2"/>
  <c r="B6" i="2"/>
  <c r="C6" i="2"/>
  <c r="E6" i="2"/>
  <c r="I6" i="2"/>
  <c r="H6" i="2"/>
  <c r="J6" i="2"/>
  <c r="C5" i="2"/>
  <c r="E5" i="2"/>
  <c r="I5" i="2"/>
  <c r="H5" i="2"/>
  <c r="J5" i="2"/>
  <c r="C4" i="2"/>
  <c r="E4" i="2"/>
  <c r="I4" i="2"/>
  <c r="H4" i="2"/>
  <c r="J4" i="2"/>
  <c r="C3" i="2"/>
  <c r="E3" i="2"/>
  <c r="I3" i="2"/>
  <c r="H3" i="2"/>
  <c r="J3" i="2"/>
  <c r="F7" i="2"/>
  <c r="F6" i="2"/>
  <c r="F5" i="2"/>
  <c r="F4" i="2"/>
  <c r="F3" i="2"/>
  <c r="D31" i="1"/>
  <c r="D30" i="1"/>
  <c r="D29" i="1"/>
  <c r="D28" i="1"/>
  <c r="D27" i="1"/>
  <c r="D26" i="1"/>
  <c r="D25" i="1"/>
  <c r="D24" i="1"/>
  <c r="D23" i="1"/>
  <c r="C24" i="1"/>
  <c r="C25" i="1"/>
  <c r="C26" i="1"/>
  <c r="C27" i="1"/>
  <c r="C28" i="1"/>
  <c r="C29" i="1"/>
  <c r="C30" i="1"/>
  <c r="C31" i="1"/>
  <c r="C23" i="1"/>
  <c r="B23" i="1"/>
  <c r="B24" i="1"/>
  <c r="B25" i="1"/>
  <c r="B26" i="1"/>
  <c r="B27" i="1"/>
  <c r="B28" i="1"/>
  <c r="B29" i="1"/>
  <c r="B30" i="1"/>
  <c r="B31" i="1"/>
  <c r="A22" i="1"/>
  <c r="D22" i="1"/>
  <c r="C22" i="1"/>
  <c r="B22" i="1"/>
  <c r="B21" i="1"/>
  <c r="D21" i="1"/>
  <c r="C21" i="1"/>
  <c r="A21" i="1"/>
  <c r="B16" i="1"/>
  <c r="B14" i="1"/>
  <c r="C14" i="1"/>
  <c r="E14" i="1"/>
  <c r="H10" i="1"/>
  <c r="F7" i="1"/>
  <c r="F10" i="1"/>
  <c r="J10" i="1"/>
  <c r="B15" i="1"/>
  <c r="C15" i="1"/>
  <c r="E15" i="1"/>
  <c r="C17" i="1"/>
  <c r="E17" i="1"/>
  <c r="E18" i="1"/>
  <c r="F15" i="1"/>
  <c r="F18" i="1"/>
  <c r="F14" i="1"/>
  <c r="F17" i="1"/>
  <c r="C18" i="1"/>
  <c r="F9" i="1"/>
  <c r="C10" i="1"/>
  <c r="E10" i="1"/>
  <c r="I10" i="1"/>
  <c r="C9" i="1"/>
  <c r="E9" i="1"/>
  <c r="I9" i="1"/>
  <c r="J9" i="1"/>
  <c r="C3" i="1"/>
  <c r="E3" i="1"/>
  <c r="C2" i="1"/>
  <c r="E2" i="1"/>
  <c r="E4" i="1"/>
  <c r="C4" i="1"/>
</calcChain>
</file>

<file path=xl/sharedStrings.xml><?xml version="1.0" encoding="utf-8"?>
<sst xmlns="http://schemas.openxmlformats.org/spreadsheetml/2006/main" count="243" uniqueCount="156">
  <si>
    <t>kWh</t>
  </si>
  <si>
    <r>
      <t>1. Electricity: 11,880 kWh per home × 884.2 lbs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 per megawatt-hour generated × (1/(1-0.073)) MWh generated/MWh delivered × 1 MWh/1,000 kWh × 1 metric ton/2,204.6 lb = 5.139 metric tons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/home.</t>
    </r>
  </si>
  <si>
    <r>
      <t>2. Natural gas: 41,590 cubic feet per home × 0.0550 kg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/cubic foot × 1/1,000 kg/metric ton = 2.29 metric tons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/home</t>
    </r>
  </si>
  <si>
    <r>
      <t>3. Propane: 42 gallons per home × 1/42 barrels/gallon × 235.0 kg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/barrel × 1/1,000 kg/metric ton = 0.23 metric tons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/home</t>
    </r>
  </si>
  <si>
    <r>
      <t>4. Fuel oil: 27 gallons per home × 1/42 barrels/gallon × 426.1 kg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/barrel × 1/1,000 kg/metric ton = 0.27 metric tons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/home</t>
    </r>
  </si>
  <si>
    <r>
      <t>Total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 emissions for energy use per home: 5.139 metric tons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 for electricity + 2.29 metric tons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 for natural gas + 0.23 metric tons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 for propane + 0.27 metric tons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 for fuel oil = </t>
    </r>
    <r>
      <rPr>
        <b/>
        <sz val="11"/>
        <color theme="1"/>
        <rFont val="Calibri"/>
        <family val="2"/>
        <scheme val="minor"/>
      </rPr>
      <t>7.93 metric tons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 per home per year</t>
    </r>
    <r>
      <rPr>
        <sz val="11"/>
        <color theme="1"/>
        <rFont val="Calibri"/>
        <family val="2"/>
        <scheme val="minor"/>
      </rPr>
      <t>.</t>
    </r>
  </si>
  <si>
    <t>https://www.epa.gov/energy/greenhouse-gases-equivalencies-calculator-calculations-and-references</t>
  </si>
  <si>
    <t>Total</t>
  </si>
  <si>
    <t>Months</t>
  </si>
  <si>
    <t>CO2 Metric Tons / yr</t>
  </si>
  <si>
    <t>CO2 Metric Tons / mon</t>
  </si>
  <si>
    <t>Mech Watts / CFM 2023</t>
  </si>
  <si>
    <t>sqft</t>
  </si>
  <si>
    <t>height</t>
  </si>
  <si>
    <t>cuft</t>
  </si>
  <si>
    <t>ACH</t>
  </si>
  <si>
    <t>CFM</t>
  </si>
  <si>
    <t>hr/day</t>
  </si>
  <si>
    <t>kWh / mon</t>
  </si>
  <si>
    <t>watt</t>
  </si>
  <si>
    <t>Duty Cycle</t>
  </si>
  <si>
    <t>kWh Vent</t>
  </si>
  <si>
    <t>1 CCF = 100 cuft</t>
  </si>
  <si>
    <t>https://www.epa.gov/avert/download-avert</t>
  </si>
  <si>
    <t>https://www.epa.gov/avert/avert-web-edition</t>
  </si>
  <si>
    <t>Gas CCF</t>
  </si>
  <si>
    <t>ACH peek</t>
  </si>
  <si>
    <t>ACH average</t>
  </si>
  <si>
    <t>kWh Tot</t>
  </si>
  <si>
    <t>kWh Total</t>
  </si>
  <si>
    <t>Comments</t>
  </si>
  <si>
    <t>Load Actual Oct 2023</t>
  </si>
  <si>
    <t>HVAC ventilation</t>
  </si>
  <si>
    <t>HVAC + cooking + dryer</t>
  </si>
  <si>
    <t>LED lighting + appliances: refrig + diskwasher + washer + dryer + TV + Electronics</t>
  </si>
  <si>
    <t>Load Oct 2024</t>
  </si>
  <si>
    <t>% using ACH avg</t>
  </si>
  <si>
    <t>incandescent bulbs 15 lumens/watt</t>
  </si>
  <si>
    <t>LED bulbs 75-110 lumens/watt</t>
  </si>
  <si>
    <t>incandescent bulbs 14.3 lumens/watt</t>
  </si>
  <si>
    <t>sitting room or bedroom 10-20 lumens per square foot</t>
  </si>
  <si>
    <t>bathroom or kitchen 70-80 lumens per square foot</t>
  </si>
  <si>
    <t>LED bulbs 63 lumens/watt</t>
  </si>
  <si>
    <t>https://www.eaton.com/tw/en-us/company/news-insights/lighting-resource/trends/led-trends-more-lumens-per-watt.html</t>
  </si>
  <si>
    <t>https://www.pooky.com/blogs/inspiration/how-much-light-do-you-need-in-a-room</t>
  </si>
  <si>
    <t>https://www.voltlighting.com/learn/lumens-to-watts-conversion-led-bulb</t>
  </si>
  <si>
    <t>Classroom</t>
  </si>
  <si>
    <t>Room</t>
  </si>
  <si>
    <t>LM/sqft</t>
  </si>
  <si>
    <t>LED LM/Watt</t>
  </si>
  <si>
    <t>Watts Tot</t>
  </si>
  <si>
    <t># of 850 LM Bulbs</t>
  </si>
  <si>
    <t>300 lux for young people and 500 lux for adult education and evening classes.</t>
  </si>
  <si>
    <t>https://blog.secom.es/en/adequately-lit-classrooms/</t>
  </si>
  <si>
    <t>lux = LM/sq-meter</t>
  </si>
  <si>
    <t>Lux</t>
  </si>
  <si>
    <t>https://www.any-lamp.com/blog/lumen-and-lux</t>
  </si>
  <si>
    <t>https://www.lumistrips.com/lumistrips-en-lumen-lux-calculator</t>
  </si>
  <si>
    <t>Activity</t>
  </si>
  <si>
    <t>Illuminance</t>
  </si>
  <si>
    <t>(lx, lumen/m2)</t>
  </si>
  <si>
    <t>Public areas with dark surroundings</t>
  </si>
  <si>
    <t>20 - 50</t>
  </si>
  <si>
    <t>Simple orientation for short visits</t>
  </si>
  <si>
    <t>50 - 100</t>
  </si>
  <si>
    <t>Areas with traffic and corridors - stairways, escalators and travelators - lifts - storage spaces</t>
  </si>
  <si>
    <t>Working areas where visual tasks are only occasionally performed</t>
  </si>
  <si>
    <t>100 - 150</t>
  </si>
  <si>
    <t>Warehouses, homes, theaters, archives, loading bays</t>
  </si>
  <si>
    <t>Coffee break room, technical facilities, ball-mill areas, pulp plants, waiting rooms, </t>
  </si>
  <si>
    <t>Easy office work</t>
  </si>
  <si>
    <t>Class rooms</t>
  </si>
  <si>
    <t>Normal office work, PC work, study library, groceries, show rooms, laboratories, check-out areas, kitchens, auditoriums</t>
  </si>
  <si>
    <t>Supermarkets, mechanical workshops, office landscapes</t>
  </si>
  <si>
    <t>Normal drawing work, detailed mechanical workshops, operation theaters</t>
  </si>
  <si>
    <t>Detailed drawing work, very detailed mechanical works, electronic workshops, testing and adjustments</t>
  </si>
  <si>
    <t>1500 - 2000</t>
  </si>
  <si>
    <t>Performance of visual tasks of low contrast  and very small size for prolonged periods of time</t>
  </si>
  <si>
    <t>2000 - 5000</t>
  </si>
  <si>
    <t>Performance of very prolonged and exacting visual tasks </t>
  </si>
  <si>
    <t>5000 - 10000</t>
  </si>
  <si>
    <t>Performance of very special visual tasks of extremely low contrast and small size</t>
  </si>
  <si>
    <t>10000 - 20000</t>
  </si>
  <si>
    <t>1 meter = 3.28084 ft</t>
  </si>
  <si>
    <t>sq-m</t>
  </si>
  <si>
    <t>reading rooms, prep rooms and workshops</t>
  </si>
  <si>
    <t>tutoring sessions, practical exercises and physical exercise</t>
  </si>
  <si>
    <t>Art and technical drawing classrooms</t>
  </si>
  <si>
    <t>Classroom A</t>
  </si>
  <si>
    <t>Classroom C</t>
  </si>
  <si>
    <t>Classroom B</t>
  </si>
  <si>
    <t>LM = lux * sq-meter</t>
  </si>
  <si>
    <t>LM</t>
  </si>
  <si>
    <t>Garage</t>
  </si>
  <si>
    <t>Bathroom</t>
  </si>
  <si>
    <t>Watts / CFM</t>
  </si>
  <si>
    <t>CFM = ACH*cuft/60</t>
  </si>
  <si>
    <t>Ceiling</t>
  </si>
  <si>
    <t>By Walter Sobkiw</t>
  </si>
  <si>
    <t>This analysis comes from COVID-19 Research from a Systems Perspective started in 2020.</t>
  </si>
  <si>
    <t>Ventilation Tradeoffs</t>
  </si>
  <si>
    <t>The ventilation tradeoffs in terms of power levels is between lighting and ventilation rates.</t>
  </si>
  <si>
    <t>For houses the tradeoff includes the power levels associated with appliances.</t>
  </si>
  <si>
    <t>HVAC + LED lighting + appliances: refrig + dishwasher + washer + dryer + TV + Electronics</t>
  </si>
  <si>
    <t>eACH</t>
  </si>
  <si>
    <t>UV Watts / cuft</t>
  </si>
  <si>
    <t>CFH</t>
  </si>
  <si>
    <t>Watts Tot (1000 sqft)</t>
  </si>
  <si>
    <t>Watts Tot (1 cuft)</t>
  </si>
  <si>
    <t>LM/Watt</t>
  </si>
  <si>
    <t>LED</t>
  </si>
  <si>
    <t>Ratio</t>
  </si>
  <si>
    <t>LED Watts Tot</t>
  </si>
  <si>
    <t>LED Watts / Bulb</t>
  </si>
  <si>
    <t>incandescent Watts Tot</t>
  </si>
  <si>
    <t xml:space="preserve">incandescent </t>
  </si>
  <si>
    <t>Assumptions</t>
  </si>
  <si>
    <t>sq-ft</t>
  </si>
  <si>
    <t>Room Size</t>
  </si>
  <si>
    <t xml:space="preserve">Facility Size </t>
  </si>
  <si>
    <t>Measurement Spaces</t>
  </si>
  <si>
    <t>Cost Estimate Items</t>
  </si>
  <si>
    <t>Event</t>
  </si>
  <si>
    <t>Min</t>
  </si>
  <si>
    <t>Spaces</t>
  </si>
  <si>
    <t>Cost
Hrs / yr</t>
  </si>
  <si>
    <t>Benefit
Hrs / yr</t>
  </si>
  <si>
    <t>Room Observations Checklists</t>
  </si>
  <si>
    <t>weekly</t>
  </si>
  <si>
    <t>Performed by room hosts, IT, student volunteers, and or Janitorial Staff</t>
  </si>
  <si>
    <t>Bi-annual</t>
  </si>
  <si>
    <t>Performed by independent Ventilation POC and or Health and Safety</t>
  </si>
  <si>
    <t>daily</t>
  </si>
  <si>
    <t>Facility Observations Checklist</t>
  </si>
  <si>
    <t>Ventilation Public Disclosure</t>
  </si>
  <si>
    <t>quarterly</t>
  </si>
  <si>
    <t>ACH Level Measurement</t>
  </si>
  <si>
    <t>annual</t>
  </si>
  <si>
    <t>Can become 0 with new proposed in room ACH level panel</t>
  </si>
  <si>
    <t>real time</t>
  </si>
  <si>
    <t>Performed by room occupants 52*5*.05</t>
  </si>
  <si>
    <t>QII Reports</t>
  </si>
  <si>
    <t>ODC Reports</t>
  </si>
  <si>
    <t>Hours</t>
  </si>
  <si>
    <t>$100/hr</t>
  </si>
  <si>
    <t>Capital Equip (anemometers)</t>
  </si>
  <si>
    <t>Room Observations Checklists (ODC)</t>
  </si>
  <si>
    <t>ACH Level Measurement (ODC)</t>
  </si>
  <si>
    <t>Occupant Observations (ODC)</t>
  </si>
  <si>
    <t>Annual Total Hours</t>
  </si>
  <si>
    <t>Room Observations Daily Record (ODC)</t>
  </si>
  <si>
    <t>Annual Cost QII</t>
  </si>
  <si>
    <t>Annual Benefit ODC</t>
  </si>
  <si>
    <t>Performed by room hosts 52*5*.1 (5% by dedicated staff)</t>
  </si>
  <si>
    <t>Number of Floors in Building</t>
  </si>
  <si>
    <t>Electricity Produced By Roof Solar Installation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</si>
</sst>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%"/>
    <numFmt numFmtId="166" formatCode="0.0"/>
    <numFmt numFmtId="167" formatCode="0.0000"/>
    <numFmt numFmtId="168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4" fillId="0" borderId="0" xfId="0" applyFont="1"/>
    <xf numFmtId="164" fontId="4" fillId="0" borderId="0" xfId="0" applyNumberFormat="1" applyFont="1"/>
    <xf numFmtId="165" fontId="4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2" borderId="0" xfId="0" applyNumberFormat="1" applyFont="1" applyFill="1"/>
    <xf numFmtId="17" fontId="0" fillId="0" borderId="0" xfId="0" applyNumberFormat="1"/>
    <xf numFmtId="1" fontId="4" fillId="0" borderId="0" xfId="0" applyNumberFormat="1" applyFont="1"/>
    <xf numFmtId="1" fontId="1" fillId="0" borderId="0" xfId="0" applyNumberFormat="1" applyFont="1"/>
    <xf numFmtId="0" fontId="0" fillId="0" borderId="0" xfId="0" applyAlignment="1">
      <alignment horizontal="center"/>
    </xf>
    <xf numFmtId="166" fontId="4" fillId="0" borderId="0" xfId="0" applyNumberFormat="1" applyFont="1"/>
    <xf numFmtId="164" fontId="1" fillId="0" borderId="0" xfId="0" applyNumberFormat="1" applyFont="1"/>
    <xf numFmtId="0" fontId="0" fillId="0" borderId="0" xfId="0" applyAlignment="1">
      <alignment horizontal="left"/>
    </xf>
    <xf numFmtId="0" fontId="5" fillId="0" borderId="0" xfId="0" applyFont="1" applyAlignment="1">
      <alignment horizontal="center" vertical="center"/>
    </xf>
    <xf numFmtId="17" fontId="0" fillId="0" borderId="0" xfId="0" applyNumberFormat="1" applyAlignment="1">
      <alignment horizontal="center"/>
    </xf>
    <xf numFmtId="2" fontId="4" fillId="0" borderId="0" xfId="0" applyNumberFormat="1" applyFont="1"/>
    <xf numFmtId="167" fontId="4" fillId="0" borderId="0" xfId="0" applyNumberFormat="1" applyFont="1"/>
    <xf numFmtId="0" fontId="0" fillId="0" borderId="0" xfId="0" applyFont="1"/>
    <xf numFmtId="166" fontId="0" fillId="0" borderId="0" xfId="0" applyNumberFormat="1"/>
    <xf numFmtId="1" fontId="0" fillId="0" borderId="0" xfId="0" applyNumberFormat="1"/>
    <xf numFmtId="3" fontId="0" fillId="0" borderId="0" xfId="0" applyNumberFormat="1"/>
    <xf numFmtId="0" fontId="1" fillId="0" borderId="0" xfId="0" applyFont="1" applyAlignment="1">
      <alignment horizontal="left" wrapText="1"/>
    </xf>
    <xf numFmtId="0" fontId="0" fillId="2" borderId="0" xfId="0" applyFill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0" fontId="1" fillId="0" borderId="0" xfId="0" applyFont="1" applyAlignment="1">
      <alignment horizontal="left"/>
    </xf>
    <xf numFmtId="168" fontId="0" fillId="0" borderId="0" xfId="0" applyNumberFormat="1"/>
    <xf numFmtId="4" fontId="0" fillId="0" borderId="0" xfId="0" applyNumberFormat="1"/>
    <xf numFmtId="0" fontId="1" fillId="0" borderId="0" xfId="0" applyFont="1" applyBorder="1" applyAlignment="1">
      <alignment horizontal="right"/>
    </xf>
    <xf numFmtId="3" fontId="0" fillId="0" borderId="0" xfId="0" applyNumberFormat="1" applyBorder="1"/>
    <xf numFmtId="168" fontId="0" fillId="0" borderId="0" xfId="0" applyNumberFormat="1" applyBorder="1"/>
    <xf numFmtId="0" fontId="0" fillId="0" borderId="0" xfId="0" applyBorder="1"/>
    <xf numFmtId="9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CAFF3-2A49-4249-AF1A-ABBAFB1D887F}">
  <dimension ref="A2:A13"/>
  <sheetViews>
    <sheetView workbookViewId="0">
      <selection activeCell="A2" sqref="A2"/>
    </sheetView>
  </sheetViews>
  <sheetFormatPr defaultRowHeight="15" x14ac:dyDescent="0.25"/>
  <cols>
    <col min="1" max="1" width="81.140625" bestFit="1" customWidth="1"/>
  </cols>
  <sheetData>
    <row r="2" spans="1:1" x14ac:dyDescent="0.25">
      <c r="A2" s="3" t="s">
        <v>100</v>
      </c>
    </row>
    <row r="3" spans="1:1" x14ac:dyDescent="0.25">
      <c r="A3" s="3"/>
    </row>
    <row r="4" spans="1:1" x14ac:dyDescent="0.25">
      <c r="A4" s="3"/>
    </row>
    <row r="6" spans="1:1" ht="15.75" x14ac:dyDescent="0.25">
      <c r="A6" s="17" t="s">
        <v>98</v>
      </c>
    </row>
    <row r="7" spans="1:1" x14ac:dyDescent="0.25">
      <c r="A7" s="18">
        <v>45261</v>
      </c>
    </row>
    <row r="8" spans="1:1" x14ac:dyDescent="0.25">
      <c r="A8" s="13"/>
    </row>
    <row r="9" spans="1:1" x14ac:dyDescent="0.25">
      <c r="A9" s="13"/>
    </row>
    <row r="10" spans="1:1" x14ac:dyDescent="0.25">
      <c r="A10" s="13" t="s">
        <v>99</v>
      </c>
    </row>
    <row r="12" spans="1:1" x14ac:dyDescent="0.25">
      <c r="A12" t="s">
        <v>101</v>
      </c>
    </row>
    <row r="13" spans="1:1" x14ac:dyDescent="0.25">
      <c r="A13" t="s">
        <v>102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78A3A-211E-4AC8-84AD-B20AEC6D10E4}">
  <dimension ref="A1:J43"/>
  <sheetViews>
    <sheetView zoomScaleNormal="100" workbookViewId="0">
      <selection activeCell="G14" sqref="G14"/>
    </sheetView>
  </sheetViews>
  <sheetFormatPr defaultRowHeight="15" x14ac:dyDescent="0.25"/>
  <cols>
    <col min="1" max="1" width="9.85546875" customWidth="1"/>
    <col min="2" max="2" width="9.7109375" customWidth="1"/>
    <col min="6" max="6" width="10.85546875" customWidth="1"/>
    <col min="7" max="7" width="10.5703125" customWidth="1"/>
    <col min="9" max="9" width="11" customWidth="1"/>
  </cols>
  <sheetData>
    <row r="1" spans="1:10" s="4" customFormat="1" ht="60" x14ac:dyDescent="0.25">
      <c r="B1" s="4" t="s">
        <v>31</v>
      </c>
      <c r="C1" s="4" t="s">
        <v>10</v>
      </c>
      <c r="D1" s="3" t="s">
        <v>8</v>
      </c>
      <c r="E1" s="4" t="s">
        <v>9</v>
      </c>
      <c r="F1" s="4" t="s">
        <v>30</v>
      </c>
    </row>
    <row r="2" spans="1:10" x14ac:dyDescent="0.25">
      <c r="A2" t="s">
        <v>29</v>
      </c>
      <c r="B2" s="2">
        <v>354</v>
      </c>
      <c r="C2" s="6">
        <f>B2*884.2*(1/(1-0.073))*(1/1000)*(1/2204.6)</f>
        <v>0.15315960420503524</v>
      </c>
      <c r="D2" s="2">
        <v>12</v>
      </c>
      <c r="E2" s="6">
        <f>C2*12</f>
        <v>1.8379152504604228</v>
      </c>
      <c r="F2" t="s">
        <v>103</v>
      </c>
      <c r="G2" s="2"/>
      <c r="H2" s="10"/>
    </row>
    <row r="3" spans="1:10" x14ac:dyDescent="0.25">
      <c r="A3" t="s">
        <v>25</v>
      </c>
      <c r="B3" s="2">
        <v>5400</v>
      </c>
      <c r="C3" s="6">
        <f>B3*0.055*(1/1000)</f>
        <v>0.29699999999999999</v>
      </c>
      <c r="D3" s="2">
        <v>12</v>
      </c>
      <c r="E3" s="6">
        <f>C3*12</f>
        <v>3.5640000000000001</v>
      </c>
      <c r="F3" t="s">
        <v>33</v>
      </c>
      <c r="G3" s="2"/>
      <c r="H3" s="10"/>
    </row>
    <row r="4" spans="1:10" x14ac:dyDescent="0.25">
      <c r="A4" t="s">
        <v>7</v>
      </c>
      <c r="C4" s="6">
        <f>SUM(C2:C3)</f>
        <v>0.4501596042050352</v>
      </c>
      <c r="E4" s="6">
        <f>SUM(E2:E3)</f>
        <v>5.4019152504604229</v>
      </c>
    </row>
    <row r="5" spans="1:10" x14ac:dyDescent="0.25">
      <c r="A5" t="s">
        <v>22</v>
      </c>
    </row>
    <row r="7" spans="1:10" x14ac:dyDescent="0.25">
      <c r="E7" s="1" t="s">
        <v>11</v>
      </c>
      <c r="F7" s="8">
        <f>828/1600</f>
        <v>0.51749999999999996</v>
      </c>
    </row>
    <row r="8" spans="1:10" s="4" customFormat="1" ht="30" x14ac:dyDescent="0.25">
      <c r="A8" s="4" t="s">
        <v>12</v>
      </c>
      <c r="B8" s="4" t="s">
        <v>13</v>
      </c>
      <c r="C8" s="4" t="s">
        <v>14</v>
      </c>
      <c r="D8" s="4" t="s">
        <v>16</v>
      </c>
      <c r="E8" s="4" t="s">
        <v>26</v>
      </c>
      <c r="F8" s="4" t="s">
        <v>19</v>
      </c>
      <c r="G8" s="4" t="s">
        <v>17</v>
      </c>
      <c r="H8" s="4" t="s">
        <v>20</v>
      </c>
      <c r="I8" s="4" t="s">
        <v>27</v>
      </c>
      <c r="J8" s="4" t="s">
        <v>18</v>
      </c>
    </row>
    <row r="9" spans="1:10" x14ac:dyDescent="0.25">
      <c r="A9" s="2">
        <v>2300</v>
      </c>
      <c r="B9" s="2">
        <v>10</v>
      </c>
      <c r="C9" s="5">
        <f>A9*B9</f>
        <v>23000</v>
      </c>
      <c r="D9">
        <v>1500</v>
      </c>
      <c r="E9" s="6">
        <f>D9*60/C9</f>
        <v>3.9130434782608696</v>
      </c>
      <c r="F9" s="5">
        <f>D9*F$7</f>
        <v>776.24999999999989</v>
      </c>
      <c r="G9" s="2">
        <v>24</v>
      </c>
      <c r="H9" s="2">
        <v>1</v>
      </c>
      <c r="I9" s="6">
        <f>E9*H9</f>
        <v>3.9130434782608696</v>
      </c>
      <c r="J9" s="5">
        <f>H9*F9*G9*30/1000</f>
        <v>558.89999999999986</v>
      </c>
    </row>
    <row r="10" spans="1:10" x14ac:dyDescent="0.25">
      <c r="A10" s="2">
        <v>2300</v>
      </c>
      <c r="B10" s="2">
        <v>10</v>
      </c>
      <c r="C10" s="5">
        <f>A10*B10</f>
        <v>23000</v>
      </c>
      <c r="D10">
        <v>1500</v>
      </c>
      <c r="E10" s="6">
        <f>D10*60/C10</f>
        <v>3.9130434782608696</v>
      </c>
      <c r="F10" s="5">
        <f>D10*F$7</f>
        <v>776.24999999999989</v>
      </c>
      <c r="G10" s="2">
        <v>24</v>
      </c>
      <c r="H10" s="9">
        <f>10/30</f>
        <v>0.33333333333333331</v>
      </c>
      <c r="I10" s="6">
        <f>E10*H10</f>
        <v>1.3043478260869565</v>
      </c>
      <c r="J10" s="5">
        <f>H10*F10*G10*30/1000</f>
        <v>186.29999999999995</v>
      </c>
    </row>
    <row r="13" spans="1:10" ht="60" x14ac:dyDescent="0.25">
      <c r="A13" s="4"/>
      <c r="B13" s="4" t="s">
        <v>35</v>
      </c>
      <c r="C13" s="4" t="s">
        <v>10</v>
      </c>
      <c r="D13" s="3" t="s">
        <v>8</v>
      </c>
      <c r="E13" s="4" t="s">
        <v>9</v>
      </c>
      <c r="F13" s="4" t="s">
        <v>36</v>
      </c>
      <c r="G13" s="4" t="s">
        <v>30</v>
      </c>
    </row>
    <row r="14" spans="1:10" x14ac:dyDescent="0.25">
      <c r="A14" t="s">
        <v>0</v>
      </c>
      <c r="B14" s="11">
        <f>354-186</f>
        <v>168</v>
      </c>
      <c r="C14" s="6">
        <f>B14*884.2*(1/(1-0.073))*(1/1000)*(1/2204.6)</f>
        <v>7.2685913860016743E-2</v>
      </c>
      <c r="D14" s="2">
        <v>12</v>
      </c>
      <c r="E14" s="6">
        <f>C14*12</f>
        <v>0.87223096632020092</v>
      </c>
      <c r="F14" s="7">
        <f>E14/E$18</f>
        <v>0.16142044157062013</v>
      </c>
      <c r="G14" t="s">
        <v>34</v>
      </c>
    </row>
    <row r="15" spans="1:10" x14ac:dyDescent="0.25">
      <c r="A15" t="s">
        <v>21</v>
      </c>
      <c r="B15" s="11">
        <f>J10</f>
        <v>186.29999999999995</v>
      </c>
      <c r="C15" s="6">
        <f>B15*884.2*(1/(1-0.073))*(1/1000)*(1/2204.6)</f>
        <v>8.0603486619768544E-2</v>
      </c>
      <c r="D15" s="2">
        <v>12</v>
      </c>
      <c r="E15" s="6">
        <f>C15*12</f>
        <v>0.96724183943722253</v>
      </c>
      <c r="F15" s="7">
        <f>E15/E$18</f>
        <v>0.17900373967027691</v>
      </c>
      <c r="G15" t="s">
        <v>32</v>
      </c>
    </row>
    <row r="16" spans="1:10" x14ac:dyDescent="0.25">
      <c r="A16" t="s">
        <v>28</v>
      </c>
      <c r="B16" s="11">
        <f>(SUM(B14:B15))</f>
        <v>354.29999999999995</v>
      </c>
      <c r="C16" s="6"/>
      <c r="D16" s="2"/>
      <c r="E16" s="6"/>
      <c r="F16" s="7"/>
    </row>
    <row r="17" spans="1:7" x14ac:dyDescent="0.25">
      <c r="A17" t="s">
        <v>25</v>
      </c>
      <c r="B17" s="12">
        <v>5400</v>
      </c>
      <c r="C17" s="6">
        <f>B17*0.055*(1/1000)</f>
        <v>0.29699999999999999</v>
      </c>
      <c r="D17" s="2">
        <v>12</v>
      </c>
      <c r="E17" s="6">
        <f>C17*12</f>
        <v>3.5640000000000001</v>
      </c>
      <c r="F17" s="7">
        <f>E17/E$18</f>
        <v>0.65957581875910298</v>
      </c>
      <c r="G17" t="s">
        <v>33</v>
      </c>
    </row>
    <row r="18" spans="1:7" x14ac:dyDescent="0.25">
      <c r="A18" t="s">
        <v>7</v>
      </c>
      <c r="C18" s="6">
        <f>SUM(C14:C17)</f>
        <v>0.45028940047978527</v>
      </c>
      <c r="E18" s="6">
        <f>SUM(E14:E17)</f>
        <v>5.4034728057574233</v>
      </c>
      <c r="F18" s="7">
        <f>E18/E$18</f>
        <v>1</v>
      </c>
    </row>
    <row r="20" spans="1:7" s="3" customFormat="1" x14ac:dyDescent="0.25">
      <c r="A20" s="3" t="s">
        <v>15</v>
      </c>
      <c r="B20" s="3" t="s">
        <v>0</v>
      </c>
      <c r="C20" s="3" t="s">
        <v>21</v>
      </c>
      <c r="D20" s="3" t="s">
        <v>28</v>
      </c>
    </row>
    <row r="21" spans="1:7" x14ac:dyDescent="0.25">
      <c r="A21" s="6">
        <f>H10</f>
        <v>0.33333333333333331</v>
      </c>
      <c r="B21" s="11">
        <f>B14</f>
        <v>168</v>
      </c>
      <c r="C21" s="11">
        <f>B15</f>
        <v>186.29999999999995</v>
      </c>
      <c r="D21" s="11">
        <f>B16</f>
        <v>354.29999999999995</v>
      </c>
    </row>
    <row r="22" spans="1:7" x14ac:dyDescent="0.25">
      <c r="A22" s="6">
        <f>E9</f>
        <v>3.9130434782608696</v>
      </c>
      <c r="B22" s="11">
        <f>B21</f>
        <v>168</v>
      </c>
      <c r="C22" s="11">
        <f>C21*30/10</f>
        <v>558.89999999999986</v>
      </c>
      <c r="D22" s="11">
        <f>B22+C22</f>
        <v>726.89999999999986</v>
      </c>
    </row>
    <row r="23" spans="1:7" x14ac:dyDescent="0.25">
      <c r="A23" s="2">
        <v>4</v>
      </c>
      <c r="B23" s="11">
        <f t="shared" ref="B23:B31" si="0">B22</f>
        <v>168</v>
      </c>
      <c r="C23" s="11">
        <f>C22*A23/A22</f>
        <v>571.31999999999982</v>
      </c>
      <c r="D23" s="11">
        <f t="shared" ref="D23:D31" si="1">B23+C23</f>
        <v>739.31999999999982</v>
      </c>
    </row>
    <row r="24" spans="1:7" x14ac:dyDescent="0.25">
      <c r="A24" s="2">
        <v>5</v>
      </c>
      <c r="B24" s="11">
        <f t="shared" si="0"/>
        <v>168</v>
      </c>
      <c r="C24" s="11">
        <f t="shared" ref="C24:C31" si="2">C23*A24/A23</f>
        <v>714.14999999999975</v>
      </c>
      <c r="D24" s="11">
        <f t="shared" si="1"/>
        <v>882.14999999999975</v>
      </c>
    </row>
    <row r="25" spans="1:7" x14ac:dyDescent="0.25">
      <c r="A25" s="2">
        <v>6</v>
      </c>
      <c r="B25" s="11">
        <f t="shared" si="0"/>
        <v>168</v>
      </c>
      <c r="C25" s="11">
        <f t="shared" si="2"/>
        <v>856.97999999999979</v>
      </c>
      <c r="D25" s="11">
        <f t="shared" si="1"/>
        <v>1024.9799999999998</v>
      </c>
    </row>
    <row r="26" spans="1:7" x14ac:dyDescent="0.25">
      <c r="A26" s="2">
        <v>7</v>
      </c>
      <c r="B26" s="11">
        <f t="shared" si="0"/>
        <v>168</v>
      </c>
      <c r="C26" s="11">
        <f t="shared" si="2"/>
        <v>999.80999999999983</v>
      </c>
      <c r="D26" s="11">
        <f t="shared" si="1"/>
        <v>1167.81</v>
      </c>
    </row>
    <row r="27" spans="1:7" x14ac:dyDescent="0.25">
      <c r="A27" s="2">
        <v>8</v>
      </c>
      <c r="B27" s="11">
        <f t="shared" si="0"/>
        <v>168</v>
      </c>
      <c r="C27" s="11">
        <f t="shared" si="2"/>
        <v>1142.6399999999999</v>
      </c>
      <c r="D27" s="11">
        <f t="shared" si="1"/>
        <v>1310.6399999999999</v>
      </c>
    </row>
    <row r="28" spans="1:7" x14ac:dyDescent="0.25">
      <c r="A28" s="2">
        <v>9</v>
      </c>
      <c r="B28" s="11">
        <f t="shared" si="0"/>
        <v>168</v>
      </c>
      <c r="C28" s="11">
        <f t="shared" si="2"/>
        <v>1285.4699999999998</v>
      </c>
      <c r="D28" s="11">
        <f t="shared" si="1"/>
        <v>1453.4699999999998</v>
      </c>
    </row>
    <row r="29" spans="1:7" x14ac:dyDescent="0.25">
      <c r="A29" s="2">
        <v>10</v>
      </c>
      <c r="B29" s="11">
        <f t="shared" si="0"/>
        <v>168</v>
      </c>
      <c r="C29" s="11">
        <f t="shared" si="2"/>
        <v>1428.2999999999997</v>
      </c>
      <c r="D29" s="11">
        <f t="shared" si="1"/>
        <v>1596.2999999999997</v>
      </c>
    </row>
    <row r="30" spans="1:7" x14ac:dyDescent="0.25">
      <c r="A30" s="2">
        <v>11</v>
      </c>
      <c r="B30" s="11">
        <f t="shared" si="0"/>
        <v>168</v>
      </c>
      <c r="C30" s="11">
        <f t="shared" si="2"/>
        <v>1571.1299999999997</v>
      </c>
      <c r="D30" s="11">
        <f t="shared" si="1"/>
        <v>1739.1299999999997</v>
      </c>
    </row>
    <row r="31" spans="1:7" x14ac:dyDescent="0.25">
      <c r="A31" s="2">
        <v>12</v>
      </c>
      <c r="B31" s="11">
        <f t="shared" si="0"/>
        <v>168</v>
      </c>
      <c r="C31" s="11">
        <f t="shared" si="2"/>
        <v>1713.9599999999998</v>
      </c>
      <c r="D31" s="11">
        <f t="shared" si="1"/>
        <v>1881.9599999999998</v>
      </c>
    </row>
    <row r="34" spans="1:1" ht="18" x14ac:dyDescent="0.35">
      <c r="A34" t="s">
        <v>1</v>
      </c>
    </row>
    <row r="35" spans="1:1" ht="18" x14ac:dyDescent="0.35">
      <c r="A35" t="s">
        <v>2</v>
      </c>
    </row>
    <row r="36" spans="1:1" ht="18" x14ac:dyDescent="0.35">
      <c r="A36" t="s">
        <v>3</v>
      </c>
    </row>
    <row r="37" spans="1:1" ht="18" x14ac:dyDescent="0.35">
      <c r="A37" t="s">
        <v>4</v>
      </c>
    </row>
    <row r="39" spans="1:1" ht="18" x14ac:dyDescent="0.35">
      <c r="A39" t="s">
        <v>5</v>
      </c>
    </row>
    <row r="41" spans="1:1" x14ac:dyDescent="0.25">
      <c r="A41" t="s">
        <v>6</v>
      </c>
    </row>
    <row r="42" spans="1:1" x14ac:dyDescent="0.25">
      <c r="A42" t="s">
        <v>23</v>
      </c>
    </row>
    <row r="43" spans="1:1" x14ac:dyDescent="0.25">
      <c r="A43" t="s">
        <v>24</v>
      </c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9F227-7F7F-4522-B8F3-9F96441A0B4B}">
  <dimension ref="A1:M58"/>
  <sheetViews>
    <sheetView topLeftCell="A37" zoomScaleNormal="100" workbookViewId="0"/>
  </sheetViews>
  <sheetFormatPr defaultRowHeight="15" x14ac:dyDescent="0.25"/>
  <cols>
    <col min="1" max="1" width="12.140625" customWidth="1"/>
    <col min="11" max="11" width="13.85546875" customWidth="1"/>
  </cols>
  <sheetData>
    <row r="1" spans="1:13" x14ac:dyDescent="0.25">
      <c r="K1">
        <v>4.4000000000000004</v>
      </c>
    </row>
    <row r="2" spans="1:13" ht="45" x14ac:dyDescent="0.25">
      <c r="A2" s="4" t="s">
        <v>47</v>
      </c>
      <c r="B2" s="4" t="s">
        <v>12</v>
      </c>
      <c r="C2" s="4" t="s">
        <v>84</v>
      </c>
      <c r="D2" s="4" t="s">
        <v>55</v>
      </c>
      <c r="E2" s="4" t="s">
        <v>92</v>
      </c>
      <c r="F2" s="4" t="s">
        <v>48</v>
      </c>
      <c r="G2" s="4" t="s">
        <v>49</v>
      </c>
      <c r="H2" s="4" t="s">
        <v>51</v>
      </c>
      <c r="I2" s="4" t="s">
        <v>112</v>
      </c>
      <c r="J2" s="4" t="s">
        <v>113</v>
      </c>
      <c r="K2" s="4" t="s">
        <v>114</v>
      </c>
      <c r="M2" s="4" t="s">
        <v>30</v>
      </c>
    </row>
    <row r="3" spans="1:13" x14ac:dyDescent="0.25">
      <c r="A3" t="s">
        <v>88</v>
      </c>
      <c r="B3" s="2">
        <v>1000</v>
      </c>
      <c r="C3" s="14">
        <f>B3/3.28^2</f>
        <v>92.950624628197517</v>
      </c>
      <c r="D3" s="2">
        <v>300</v>
      </c>
      <c r="E3" s="11">
        <f>D3*C3</f>
        <v>27885.187388459253</v>
      </c>
      <c r="F3" s="11">
        <f>E3/B3</f>
        <v>27.885187388459254</v>
      </c>
      <c r="G3" s="2">
        <v>63</v>
      </c>
      <c r="H3" s="14">
        <f>E3/850</f>
        <v>32.806102809952066</v>
      </c>
      <c r="I3" s="11">
        <f>E3/G3</f>
        <v>442.62202203903576</v>
      </c>
      <c r="J3" s="11">
        <f>I3/H3</f>
        <v>13.49206349206349</v>
      </c>
      <c r="K3" s="23">
        <f>I3*K$1</f>
        <v>1947.5368969717574</v>
      </c>
      <c r="M3" t="s">
        <v>86</v>
      </c>
    </row>
    <row r="4" spans="1:13" x14ac:dyDescent="0.25">
      <c r="A4" t="s">
        <v>90</v>
      </c>
      <c r="B4" s="2">
        <v>1000</v>
      </c>
      <c r="C4" s="14">
        <f t="shared" ref="C4:C7" si="0">B4/3.28^2</f>
        <v>92.950624628197517</v>
      </c>
      <c r="D4" s="2">
        <v>500</v>
      </c>
      <c r="E4" s="11">
        <f>D4*C4</f>
        <v>46475.312314098759</v>
      </c>
      <c r="F4" s="11">
        <f>E4/B4</f>
        <v>46.475312314098758</v>
      </c>
      <c r="G4" s="2">
        <v>63</v>
      </c>
      <c r="H4" s="14">
        <f>E4/850</f>
        <v>54.676838016586778</v>
      </c>
      <c r="I4" s="11">
        <f>E4/G4</f>
        <v>737.70337006505963</v>
      </c>
      <c r="J4" s="11">
        <f t="shared" ref="J4:J7" si="1">I4/H4</f>
        <v>13.49206349206349</v>
      </c>
      <c r="K4" s="23">
        <f t="shared" ref="K4:K7" si="2">I4*K$1</f>
        <v>3245.8948282862625</v>
      </c>
      <c r="M4" t="s">
        <v>85</v>
      </c>
    </row>
    <row r="5" spans="1:13" x14ac:dyDescent="0.25">
      <c r="A5" t="s">
        <v>89</v>
      </c>
      <c r="B5" s="2">
        <v>1000</v>
      </c>
      <c r="C5" s="14">
        <f t="shared" si="0"/>
        <v>92.950624628197517</v>
      </c>
      <c r="D5" s="2">
        <v>750</v>
      </c>
      <c r="E5" s="11">
        <f>D5*C5</f>
        <v>69712.968471148139</v>
      </c>
      <c r="F5" s="11">
        <f>E5/B5</f>
        <v>69.712968471148145</v>
      </c>
      <c r="G5" s="2">
        <v>63</v>
      </c>
      <c r="H5" s="14">
        <f>E5/850</f>
        <v>82.015257024880157</v>
      </c>
      <c r="I5" s="11">
        <f>E5/G5</f>
        <v>1106.5550550975895</v>
      </c>
      <c r="J5" s="11">
        <f t="shared" si="1"/>
        <v>13.492063492063494</v>
      </c>
      <c r="K5" s="23">
        <f t="shared" si="2"/>
        <v>4868.842242429394</v>
      </c>
      <c r="M5" t="s">
        <v>87</v>
      </c>
    </row>
    <row r="6" spans="1:13" s="4" customFormat="1" x14ac:dyDescent="0.25">
      <c r="A6" t="s">
        <v>93</v>
      </c>
      <c r="B6" s="2">
        <f t="shared" ref="B6" si="3">20*20</f>
        <v>400</v>
      </c>
      <c r="C6" s="14">
        <f t="shared" si="0"/>
        <v>37.180249851279008</v>
      </c>
      <c r="D6" s="2">
        <v>100</v>
      </c>
      <c r="E6" s="11">
        <f>D6*C6</f>
        <v>3718.0249851279009</v>
      </c>
      <c r="F6" s="11">
        <f>E6/B6</f>
        <v>9.295062462819752</v>
      </c>
      <c r="G6" s="2">
        <v>63</v>
      </c>
      <c r="H6" s="14">
        <f>E6/850</f>
        <v>4.3741470413269425</v>
      </c>
      <c r="I6" s="11">
        <f>E6/G6</f>
        <v>59.016269605204776</v>
      </c>
      <c r="J6" s="11">
        <f t="shared" si="1"/>
        <v>13.49206349206349</v>
      </c>
      <c r="K6" s="23">
        <f t="shared" si="2"/>
        <v>259.67158626290103</v>
      </c>
    </row>
    <row r="7" spans="1:13" x14ac:dyDescent="0.25">
      <c r="A7" t="s">
        <v>94</v>
      </c>
      <c r="B7" s="2">
        <f>6*6</f>
        <v>36</v>
      </c>
      <c r="C7" s="14">
        <f t="shared" si="0"/>
        <v>3.3462224866151105</v>
      </c>
      <c r="D7" s="2">
        <v>500</v>
      </c>
      <c r="E7" s="11">
        <f>D7*C7</f>
        <v>1673.1112433075552</v>
      </c>
      <c r="F7" s="11">
        <f>E7/B7</f>
        <v>46.475312314098758</v>
      </c>
      <c r="G7" s="2">
        <v>63</v>
      </c>
      <c r="H7" s="14">
        <f>E7/850</f>
        <v>1.9683661685971239</v>
      </c>
      <c r="I7" s="11">
        <f>E7/G7</f>
        <v>26.557321322342148</v>
      </c>
      <c r="J7" s="11">
        <f t="shared" si="1"/>
        <v>13.492063492063492</v>
      </c>
      <c r="K7" s="23">
        <f t="shared" si="2"/>
        <v>116.85221381830546</v>
      </c>
    </row>
    <row r="8" spans="1:13" x14ac:dyDescent="0.25">
      <c r="B8" s="2"/>
      <c r="C8" s="14"/>
      <c r="D8" s="11"/>
      <c r="E8" s="11"/>
      <c r="F8" s="2"/>
      <c r="G8" s="2"/>
      <c r="H8" s="14"/>
      <c r="I8" s="11"/>
      <c r="J8" s="11"/>
    </row>
    <row r="9" spans="1:13" x14ac:dyDescent="0.25">
      <c r="B9" s="1" t="s">
        <v>97</v>
      </c>
      <c r="C9" s="2">
        <v>12</v>
      </c>
    </row>
    <row r="10" spans="1:13" ht="30" x14ac:dyDescent="0.25">
      <c r="A10" s="4" t="s">
        <v>47</v>
      </c>
      <c r="B10" s="4" t="s">
        <v>12</v>
      </c>
      <c r="C10" s="4" t="s">
        <v>14</v>
      </c>
      <c r="D10" s="4" t="s">
        <v>15</v>
      </c>
      <c r="E10" s="4" t="s">
        <v>16</v>
      </c>
      <c r="F10" s="4" t="s">
        <v>95</v>
      </c>
      <c r="G10" s="4" t="s">
        <v>50</v>
      </c>
      <c r="H10" s="4"/>
      <c r="K10" s="16" t="s">
        <v>96</v>
      </c>
    </row>
    <row r="11" spans="1:13" x14ac:dyDescent="0.25">
      <c r="A11" t="s">
        <v>46</v>
      </c>
      <c r="B11" s="2">
        <v>900</v>
      </c>
      <c r="C11" s="5">
        <f>B11*C$9</f>
        <v>10800</v>
      </c>
      <c r="D11" s="2">
        <v>1</v>
      </c>
      <c r="E11" s="11">
        <f>D11*C11/60</f>
        <v>180</v>
      </c>
      <c r="F11" s="15">
        <f t="shared" ref="F11:F22" si="4">828/1600</f>
        <v>0.51749999999999996</v>
      </c>
      <c r="G11" s="11">
        <f>E11*F11</f>
        <v>93.149999999999991</v>
      </c>
      <c r="H11" s="2"/>
      <c r="K11" t="s">
        <v>53</v>
      </c>
    </row>
    <row r="12" spans="1:13" x14ac:dyDescent="0.25">
      <c r="A12" t="s">
        <v>46</v>
      </c>
      <c r="B12" s="2">
        <v>900</v>
      </c>
      <c r="C12" s="5">
        <f t="shared" ref="C12:C22" si="5">B12*C$9</f>
        <v>10800</v>
      </c>
      <c r="D12" s="2">
        <f>D11+1</f>
        <v>2</v>
      </c>
      <c r="E12" s="11">
        <f t="shared" ref="E12:E17" si="6">D12*C12/60</f>
        <v>360</v>
      </c>
      <c r="F12" s="15">
        <f t="shared" si="4"/>
        <v>0.51749999999999996</v>
      </c>
      <c r="G12" s="11">
        <f t="shared" ref="G12:G17" si="7">E12*F12</f>
        <v>186.29999999999998</v>
      </c>
      <c r="H12" s="2"/>
      <c r="K12" t="s">
        <v>83</v>
      </c>
    </row>
    <row r="13" spans="1:13" x14ac:dyDescent="0.25">
      <c r="A13" t="s">
        <v>46</v>
      </c>
      <c r="B13" s="2">
        <v>900</v>
      </c>
      <c r="C13" s="5">
        <f t="shared" si="5"/>
        <v>10800</v>
      </c>
      <c r="D13" s="2">
        <f t="shared" ref="D13:D17" si="8">D12+1</f>
        <v>3</v>
      </c>
      <c r="E13" s="11">
        <f t="shared" si="6"/>
        <v>540</v>
      </c>
      <c r="F13" s="15">
        <f t="shared" si="4"/>
        <v>0.51749999999999996</v>
      </c>
      <c r="G13" s="11">
        <f t="shared" si="7"/>
        <v>279.45</v>
      </c>
      <c r="H13" s="2"/>
      <c r="K13" t="s">
        <v>54</v>
      </c>
    </row>
    <row r="14" spans="1:13" s="4" customFormat="1" x14ac:dyDescent="0.25">
      <c r="A14" t="s">
        <v>46</v>
      </c>
      <c r="B14" s="2">
        <v>900</v>
      </c>
      <c r="C14" s="5">
        <f t="shared" si="5"/>
        <v>10800</v>
      </c>
      <c r="D14" s="2">
        <f t="shared" si="8"/>
        <v>4</v>
      </c>
      <c r="E14" s="11">
        <f t="shared" si="6"/>
        <v>720</v>
      </c>
      <c r="F14" s="15">
        <f t="shared" si="4"/>
        <v>0.51749999999999996</v>
      </c>
      <c r="G14" s="11">
        <f t="shared" si="7"/>
        <v>372.59999999999997</v>
      </c>
      <c r="H14" s="2"/>
      <c r="K14" t="s">
        <v>91</v>
      </c>
    </row>
    <row r="15" spans="1:13" x14ac:dyDescent="0.25">
      <c r="A15" t="s">
        <v>46</v>
      </c>
      <c r="B15" s="2">
        <v>900</v>
      </c>
      <c r="C15" s="5">
        <f t="shared" si="5"/>
        <v>10800</v>
      </c>
      <c r="D15" s="2">
        <f t="shared" si="8"/>
        <v>5</v>
      </c>
      <c r="E15" s="11">
        <f t="shared" si="6"/>
        <v>900</v>
      </c>
      <c r="F15" s="15">
        <f t="shared" si="4"/>
        <v>0.51749999999999996</v>
      </c>
      <c r="G15" s="11">
        <f t="shared" si="7"/>
        <v>465.74999999999994</v>
      </c>
      <c r="H15" s="2"/>
    </row>
    <row r="16" spans="1:13" x14ac:dyDescent="0.25">
      <c r="A16" t="s">
        <v>46</v>
      </c>
      <c r="B16" s="2">
        <v>900</v>
      </c>
      <c r="C16" s="5">
        <f t="shared" si="5"/>
        <v>10800</v>
      </c>
      <c r="D16" s="2">
        <f t="shared" si="8"/>
        <v>6</v>
      </c>
      <c r="E16" s="11">
        <f t="shared" si="6"/>
        <v>1080</v>
      </c>
      <c r="F16" s="15">
        <f t="shared" si="4"/>
        <v>0.51749999999999996</v>
      </c>
      <c r="G16" s="11">
        <f t="shared" si="7"/>
        <v>558.9</v>
      </c>
      <c r="K16" t="s">
        <v>52</v>
      </c>
    </row>
    <row r="17" spans="1:11" x14ac:dyDescent="0.25">
      <c r="A17" t="s">
        <v>46</v>
      </c>
      <c r="B17" s="2">
        <v>900</v>
      </c>
      <c r="C17" s="5">
        <f t="shared" si="5"/>
        <v>10800</v>
      </c>
      <c r="D17" s="2">
        <f t="shared" si="8"/>
        <v>7</v>
      </c>
      <c r="E17" s="11">
        <f t="shared" si="6"/>
        <v>1260</v>
      </c>
      <c r="F17" s="15">
        <f t="shared" si="4"/>
        <v>0.51749999999999996</v>
      </c>
      <c r="G17" s="11">
        <f t="shared" si="7"/>
        <v>652.04999999999995</v>
      </c>
      <c r="K17" t="s">
        <v>40</v>
      </c>
    </row>
    <row r="18" spans="1:11" x14ac:dyDescent="0.25">
      <c r="A18" t="s">
        <v>46</v>
      </c>
      <c r="B18" s="2">
        <v>900</v>
      </c>
      <c r="C18" s="5">
        <f t="shared" si="5"/>
        <v>10800</v>
      </c>
      <c r="D18" s="2">
        <f>D17+1</f>
        <v>8</v>
      </c>
      <c r="E18" s="11">
        <f t="shared" ref="E18:E22" si="9">D18*C18/60</f>
        <v>1440</v>
      </c>
      <c r="F18" s="15">
        <f t="shared" si="4"/>
        <v>0.51749999999999996</v>
      </c>
      <c r="G18" s="11">
        <f t="shared" ref="G18:G22" si="10">E18*F18</f>
        <v>745.19999999999993</v>
      </c>
      <c r="H18" s="2"/>
      <c r="K18" t="s">
        <v>41</v>
      </c>
    </row>
    <row r="19" spans="1:11" x14ac:dyDescent="0.25">
      <c r="A19" t="s">
        <v>46</v>
      </c>
      <c r="B19" s="2">
        <v>900</v>
      </c>
      <c r="C19" s="5">
        <f t="shared" si="5"/>
        <v>10800</v>
      </c>
      <c r="D19" s="2">
        <f t="shared" ref="D19:D22" si="11">D18+1</f>
        <v>9</v>
      </c>
      <c r="E19" s="11">
        <f t="shared" si="9"/>
        <v>1620</v>
      </c>
      <c r="F19" s="15">
        <f t="shared" si="4"/>
        <v>0.51749999999999996</v>
      </c>
      <c r="G19" s="11">
        <f t="shared" si="10"/>
        <v>838.34999999999991</v>
      </c>
      <c r="H19" s="2"/>
      <c r="K19" t="s">
        <v>39</v>
      </c>
    </row>
    <row r="20" spans="1:11" s="4" customFormat="1" x14ac:dyDescent="0.25">
      <c r="A20" t="s">
        <v>46</v>
      </c>
      <c r="B20" s="2">
        <v>900</v>
      </c>
      <c r="C20" s="5">
        <f t="shared" si="5"/>
        <v>10800</v>
      </c>
      <c r="D20" s="2">
        <f t="shared" si="11"/>
        <v>10</v>
      </c>
      <c r="E20" s="11">
        <f t="shared" si="9"/>
        <v>1800</v>
      </c>
      <c r="F20" s="15">
        <f t="shared" si="4"/>
        <v>0.51749999999999996</v>
      </c>
      <c r="G20" s="11">
        <f t="shared" si="10"/>
        <v>931.49999999999989</v>
      </c>
      <c r="H20" s="2"/>
      <c r="K20" t="s">
        <v>37</v>
      </c>
    </row>
    <row r="21" spans="1:11" x14ac:dyDescent="0.25">
      <c r="A21" t="s">
        <v>46</v>
      </c>
      <c r="B21" s="2">
        <v>900</v>
      </c>
      <c r="C21" s="5">
        <f t="shared" si="5"/>
        <v>10800</v>
      </c>
      <c r="D21" s="2">
        <f t="shared" si="11"/>
        <v>11</v>
      </c>
      <c r="E21" s="11">
        <f t="shared" si="9"/>
        <v>1980</v>
      </c>
      <c r="F21" s="15">
        <f t="shared" si="4"/>
        <v>0.51749999999999996</v>
      </c>
      <c r="G21" s="11">
        <f t="shared" si="10"/>
        <v>1024.6499999999999</v>
      </c>
      <c r="H21" s="2"/>
      <c r="K21" t="s">
        <v>38</v>
      </c>
    </row>
    <row r="22" spans="1:11" x14ac:dyDescent="0.25">
      <c r="A22" t="s">
        <v>46</v>
      </c>
      <c r="B22" s="2">
        <v>900</v>
      </c>
      <c r="C22" s="5">
        <f t="shared" si="5"/>
        <v>10800</v>
      </c>
      <c r="D22" s="2">
        <f t="shared" si="11"/>
        <v>12</v>
      </c>
      <c r="E22" s="11">
        <f t="shared" si="9"/>
        <v>2160</v>
      </c>
      <c r="F22" s="15">
        <f t="shared" si="4"/>
        <v>0.51749999999999996</v>
      </c>
      <c r="G22" s="11">
        <f t="shared" si="10"/>
        <v>1117.8</v>
      </c>
      <c r="K22" t="s">
        <v>42</v>
      </c>
    </row>
    <row r="23" spans="1:11" x14ac:dyDescent="0.25">
      <c r="B23" s="2"/>
      <c r="C23" s="5"/>
      <c r="D23" s="2"/>
      <c r="E23" s="11"/>
      <c r="F23" s="15"/>
      <c r="G23" s="11"/>
    </row>
    <row r="24" spans="1:11" ht="45" x14ac:dyDescent="0.25">
      <c r="A24" s="4" t="s">
        <v>47</v>
      </c>
      <c r="B24" s="4" t="s">
        <v>12</v>
      </c>
      <c r="C24" s="4" t="s">
        <v>14</v>
      </c>
      <c r="D24" s="4" t="s">
        <v>104</v>
      </c>
      <c r="E24" s="4"/>
      <c r="F24" s="4" t="s">
        <v>105</v>
      </c>
      <c r="G24" s="4" t="s">
        <v>50</v>
      </c>
      <c r="K24" t="s">
        <v>53</v>
      </c>
    </row>
    <row r="25" spans="1:11" x14ac:dyDescent="0.25">
      <c r="A25" t="s">
        <v>46</v>
      </c>
      <c r="B25" s="2">
        <v>900</v>
      </c>
      <c r="C25" s="5">
        <f>B25*C$9</f>
        <v>10800</v>
      </c>
      <c r="D25" s="2">
        <v>12</v>
      </c>
      <c r="E25" s="11"/>
      <c r="F25" s="15">
        <f>187/10824</f>
        <v>1.7276422764227643E-2</v>
      </c>
      <c r="G25" s="11">
        <f>C25*F25</f>
        <v>186.58536585365854</v>
      </c>
      <c r="K25" t="s">
        <v>45</v>
      </c>
    </row>
    <row r="26" spans="1:11" x14ac:dyDescent="0.25">
      <c r="A26" t="s">
        <v>46</v>
      </c>
      <c r="B26" s="2">
        <v>1000</v>
      </c>
      <c r="C26" s="5">
        <f>B26*C$9</f>
        <v>12000</v>
      </c>
      <c r="D26" s="2">
        <v>12</v>
      </c>
      <c r="E26" s="11"/>
      <c r="F26" s="15">
        <f>187/10824</f>
        <v>1.7276422764227643E-2</v>
      </c>
      <c r="G26" s="11">
        <f>C26*F26</f>
        <v>207.3170731707317</v>
      </c>
      <c r="K26" t="s">
        <v>44</v>
      </c>
    </row>
    <row r="27" spans="1:11" x14ac:dyDescent="0.25">
      <c r="K27" t="s">
        <v>43</v>
      </c>
    </row>
    <row r="28" spans="1:11" x14ac:dyDescent="0.25">
      <c r="K28" t="s">
        <v>56</v>
      </c>
    </row>
    <row r="29" spans="1:11" x14ac:dyDescent="0.25">
      <c r="B29" s="1" t="s">
        <v>97</v>
      </c>
      <c r="C29" s="2">
        <v>12</v>
      </c>
    </row>
    <row r="30" spans="1:11" ht="45" x14ac:dyDescent="0.25">
      <c r="A30" s="4" t="s">
        <v>47</v>
      </c>
      <c r="B30" s="4" t="s">
        <v>12</v>
      </c>
      <c r="C30" s="4" t="s">
        <v>14</v>
      </c>
      <c r="D30" s="4" t="s">
        <v>15</v>
      </c>
      <c r="E30" s="4" t="s">
        <v>16</v>
      </c>
      <c r="F30" s="4" t="s">
        <v>106</v>
      </c>
      <c r="G30" s="4" t="s">
        <v>95</v>
      </c>
      <c r="H30" s="4" t="s">
        <v>107</v>
      </c>
      <c r="I30" s="4" t="s">
        <v>108</v>
      </c>
    </row>
    <row r="31" spans="1:11" x14ac:dyDescent="0.25">
      <c r="A31" t="s">
        <v>46</v>
      </c>
      <c r="B31" s="2">
        <v>1000</v>
      </c>
      <c r="C31" s="5">
        <f t="shared" ref="C31:C42" si="12">B31*C$29</f>
        <v>12000</v>
      </c>
      <c r="D31" s="2">
        <v>1</v>
      </c>
      <c r="E31" s="19">
        <f>D31*C31/60</f>
        <v>200</v>
      </c>
      <c r="F31" s="14">
        <f>E31*60</f>
        <v>12000</v>
      </c>
      <c r="G31" s="15">
        <f t="shared" ref="G31:G42" si="13">828/1600</f>
        <v>0.51749999999999996</v>
      </c>
      <c r="H31" s="19">
        <f>E31*G31</f>
        <v>103.49999999999999</v>
      </c>
      <c r="I31" s="20">
        <f>H31/C31</f>
        <v>8.624999999999999E-3</v>
      </c>
    </row>
    <row r="32" spans="1:11" x14ac:dyDescent="0.25">
      <c r="A32" t="s">
        <v>46</v>
      </c>
      <c r="B32" s="2">
        <f>B31</f>
        <v>1000</v>
      </c>
      <c r="C32" s="5">
        <f t="shared" si="12"/>
        <v>12000</v>
      </c>
      <c r="D32" s="2">
        <f>D31+1</f>
        <v>2</v>
      </c>
      <c r="E32" s="19">
        <f t="shared" ref="E32:E42" si="14">D32*C32/60</f>
        <v>400</v>
      </c>
      <c r="F32" s="14">
        <f t="shared" ref="F32:F42" si="15">E32*60</f>
        <v>24000</v>
      </c>
      <c r="G32" s="15">
        <f t="shared" si="13"/>
        <v>0.51749999999999996</v>
      </c>
      <c r="H32" s="19">
        <f t="shared" ref="H32:H42" si="16">E32*G32</f>
        <v>206.99999999999997</v>
      </c>
      <c r="I32" s="20">
        <f t="shared" ref="I32:I42" si="17">H32/C32</f>
        <v>1.7249999999999998E-2</v>
      </c>
    </row>
    <row r="33" spans="1:9" x14ac:dyDescent="0.25">
      <c r="A33" t="s">
        <v>46</v>
      </c>
      <c r="B33" s="2">
        <f t="shared" ref="B33:B42" si="18">B32</f>
        <v>1000</v>
      </c>
      <c r="C33" s="5">
        <f t="shared" si="12"/>
        <v>12000</v>
      </c>
      <c r="D33" s="2">
        <f t="shared" ref="D33:D37" si="19">D32+1</f>
        <v>3</v>
      </c>
      <c r="E33" s="19">
        <f t="shared" si="14"/>
        <v>600</v>
      </c>
      <c r="F33" s="14">
        <f t="shared" si="15"/>
        <v>36000</v>
      </c>
      <c r="G33" s="15">
        <f t="shared" si="13"/>
        <v>0.51749999999999996</v>
      </c>
      <c r="H33" s="19">
        <f t="shared" si="16"/>
        <v>310.5</v>
      </c>
      <c r="I33" s="20">
        <f t="shared" si="17"/>
        <v>2.5874999999999999E-2</v>
      </c>
    </row>
    <row r="34" spans="1:9" x14ac:dyDescent="0.25">
      <c r="A34" t="s">
        <v>46</v>
      </c>
      <c r="B34" s="2">
        <f t="shared" si="18"/>
        <v>1000</v>
      </c>
      <c r="C34" s="5">
        <f t="shared" si="12"/>
        <v>12000</v>
      </c>
      <c r="D34" s="2">
        <f t="shared" si="19"/>
        <v>4</v>
      </c>
      <c r="E34" s="19">
        <f t="shared" si="14"/>
        <v>800</v>
      </c>
      <c r="F34" s="14">
        <f t="shared" si="15"/>
        <v>48000</v>
      </c>
      <c r="G34" s="15">
        <f t="shared" si="13"/>
        <v>0.51749999999999996</v>
      </c>
      <c r="H34" s="19">
        <f t="shared" si="16"/>
        <v>413.99999999999994</v>
      </c>
      <c r="I34" s="20">
        <f t="shared" si="17"/>
        <v>3.4499999999999996E-2</v>
      </c>
    </row>
    <row r="35" spans="1:9" x14ac:dyDescent="0.25">
      <c r="A35" t="s">
        <v>46</v>
      </c>
      <c r="B35" s="2">
        <f t="shared" si="18"/>
        <v>1000</v>
      </c>
      <c r="C35" s="5">
        <f t="shared" si="12"/>
        <v>12000</v>
      </c>
      <c r="D35" s="2">
        <f t="shared" si="19"/>
        <v>5</v>
      </c>
      <c r="E35" s="19">
        <f t="shared" si="14"/>
        <v>1000</v>
      </c>
      <c r="F35" s="14">
        <f t="shared" si="15"/>
        <v>60000</v>
      </c>
      <c r="G35" s="15">
        <f t="shared" si="13"/>
        <v>0.51749999999999996</v>
      </c>
      <c r="H35" s="19">
        <f t="shared" si="16"/>
        <v>517.5</v>
      </c>
      <c r="I35" s="20">
        <f t="shared" si="17"/>
        <v>4.3124999999999997E-2</v>
      </c>
    </row>
    <row r="36" spans="1:9" x14ac:dyDescent="0.25">
      <c r="A36" t="s">
        <v>46</v>
      </c>
      <c r="B36" s="2">
        <f t="shared" si="18"/>
        <v>1000</v>
      </c>
      <c r="C36" s="5">
        <f t="shared" si="12"/>
        <v>12000</v>
      </c>
      <c r="D36" s="2">
        <f t="shared" si="19"/>
        <v>6</v>
      </c>
      <c r="E36" s="19">
        <f t="shared" si="14"/>
        <v>1200</v>
      </c>
      <c r="F36" s="14">
        <f t="shared" si="15"/>
        <v>72000</v>
      </c>
      <c r="G36" s="15">
        <f t="shared" si="13"/>
        <v>0.51749999999999996</v>
      </c>
      <c r="H36" s="19">
        <f t="shared" si="16"/>
        <v>621</v>
      </c>
      <c r="I36" s="20">
        <f t="shared" si="17"/>
        <v>5.1749999999999997E-2</v>
      </c>
    </row>
    <row r="37" spans="1:9" x14ac:dyDescent="0.25">
      <c r="A37" t="s">
        <v>46</v>
      </c>
      <c r="B37" s="2">
        <f t="shared" si="18"/>
        <v>1000</v>
      </c>
      <c r="C37" s="5">
        <f t="shared" si="12"/>
        <v>12000</v>
      </c>
      <c r="D37" s="2">
        <f t="shared" si="19"/>
        <v>7</v>
      </c>
      <c r="E37" s="19">
        <f t="shared" si="14"/>
        <v>1400</v>
      </c>
      <c r="F37" s="14">
        <f t="shared" si="15"/>
        <v>84000</v>
      </c>
      <c r="G37" s="15">
        <f t="shared" si="13"/>
        <v>0.51749999999999996</v>
      </c>
      <c r="H37" s="19">
        <f t="shared" si="16"/>
        <v>724.5</v>
      </c>
      <c r="I37" s="20">
        <f t="shared" si="17"/>
        <v>6.0374999999999998E-2</v>
      </c>
    </row>
    <row r="38" spans="1:9" x14ac:dyDescent="0.25">
      <c r="A38" t="s">
        <v>46</v>
      </c>
      <c r="B38" s="2">
        <f t="shared" si="18"/>
        <v>1000</v>
      </c>
      <c r="C38" s="5">
        <f t="shared" si="12"/>
        <v>12000</v>
      </c>
      <c r="D38" s="2">
        <f>D37+1</f>
        <v>8</v>
      </c>
      <c r="E38" s="19">
        <f t="shared" si="14"/>
        <v>1600</v>
      </c>
      <c r="F38" s="14">
        <f t="shared" si="15"/>
        <v>96000</v>
      </c>
      <c r="G38" s="15">
        <f t="shared" si="13"/>
        <v>0.51749999999999996</v>
      </c>
      <c r="H38" s="19">
        <f t="shared" si="16"/>
        <v>827.99999999999989</v>
      </c>
      <c r="I38" s="20">
        <f t="shared" si="17"/>
        <v>6.8999999999999992E-2</v>
      </c>
    </row>
    <row r="39" spans="1:9" x14ac:dyDescent="0.25">
      <c r="A39" t="s">
        <v>46</v>
      </c>
      <c r="B39" s="2">
        <f t="shared" si="18"/>
        <v>1000</v>
      </c>
      <c r="C39" s="5">
        <f t="shared" si="12"/>
        <v>12000</v>
      </c>
      <c r="D39" s="2">
        <f t="shared" ref="D39:D42" si="20">D38+1</f>
        <v>9</v>
      </c>
      <c r="E39" s="19">
        <f t="shared" si="14"/>
        <v>1800</v>
      </c>
      <c r="F39" s="14">
        <f t="shared" si="15"/>
        <v>108000</v>
      </c>
      <c r="G39" s="15">
        <f t="shared" si="13"/>
        <v>0.51749999999999996</v>
      </c>
      <c r="H39" s="19">
        <f t="shared" si="16"/>
        <v>931.49999999999989</v>
      </c>
      <c r="I39" s="20">
        <f t="shared" si="17"/>
        <v>7.7624999999999986E-2</v>
      </c>
    </row>
    <row r="40" spans="1:9" x14ac:dyDescent="0.25">
      <c r="A40" t="s">
        <v>46</v>
      </c>
      <c r="B40" s="2">
        <f t="shared" si="18"/>
        <v>1000</v>
      </c>
      <c r="C40" s="5">
        <f t="shared" si="12"/>
        <v>12000</v>
      </c>
      <c r="D40" s="2">
        <f t="shared" si="20"/>
        <v>10</v>
      </c>
      <c r="E40" s="19">
        <f t="shared" si="14"/>
        <v>2000</v>
      </c>
      <c r="F40" s="14">
        <f t="shared" si="15"/>
        <v>120000</v>
      </c>
      <c r="G40" s="15">
        <f t="shared" si="13"/>
        <v>0.51749999999999996</v>
      </c>
      <c r="H40" s="19">
        <f t="shared" si="16"/>
        <v>1035</v>
      </c>
      <c r="I40" s="20">
        <f t="shared" si="17"/>
        <v>8.6249999999999993E-2</v>
      </c>
    </row>
    <row r="41" spans="1:9" x14ac:dyDescent="0.25">
      <c r="A41" t="s">
        <v>46</v>
      </c>
      <c r="B41" s="2">
        <f t="shared" si="18"/>
        <v>1000</v>
      </c>
      <c r="C41" s="5">
        <f t="shared" si="12"/>
        <v>12000</v>
      </c>
      <c r="D41" s="2">
        <f t="shared" si="20"/>
        <v>11</v>
      </c>
      <c r="E41" s="19">
        <f t="shared" si="14"/>
        <v>2200</v>
      </c>
      <c r="F41" s="14">
        <f t="shared" si="15"/>
        <v>132000</v>
      </c>
      <c r="G41" s="15">
        <f t="shared" si="13"/>
        <v>0.51749999999999996</v>
      </c>
      <c r="H41" s="19">
        <f t="shared" si="16"/>
        <v>1138.5</v>
      </c>
      <c r="I41" s="20">
        <f t="shared" si="17"/>
        <v>9.4875000000000001E-2</v>
      </c>
    </row>
    <row r="42" spans="1:9" x14ac:dyDescent="0.25">
      <c r="A42" t="s">
        <v>46</v>
      </c>
      <c r="B42" s="2">
        <f t="shared" si="18"/>
        <v>1000</v>
      </c>
      <c r="C42" s="5">
        <f t="shared" si="12"/>
        <v>12000</v>
      </c>
      <c r="D42" s="2">
        <f t="shared" si="20"/>
        <v>12</v>
      </c>
      <c r="E42" s="19">
        <f t="shared" si="14"/>
        <v>2400</v>
      </c>
      <c r="F42" s="14">
        <f t="shared" si="15"/>
        <v>144000</v>
      </c>
      <c r="G42" s="15">
        <f t="shared" si="13"/>
        <v>0.51749999999999996</v>
      </c>
      <c r="H42" s="19">
        <f t="shared" si="16"/>
        <v>1242</v>
      </c>
      <c r="I42" s="20">
        <f t="shared" si="17"/>
        <v>0.10349999999999999</v>
      </c>
    </row>
    <row r="45" spans="1:9" x14ac:dyDescent="0.25">
      <c r="B45" s="1" t="s">
        <v>97</v>
      </c>
      <c r="C45" s="2">
        <v>12</v>
      </c>
    </row>
    <row r="46" spans="1:9" ht="30" x14ac:dyDescent="0.25">
      <c r="A46" s="4" t="s">
        <v>47</v>
      </c>
      <c r="B46" s="4" t="s">
        <v>12</v>
      </c>
      <c r="C46" s="4" t="s">
        <v>14</v>
      </c>
      <c r="D46" s="4" t="s">
        <v>15</v>
      </c>
      <c r="E46" s="4" t="s">
        <v>16</v>
      </c>
      <c r="F46" s="4" t="s">
        <v>106</v>
      </c>
      <c r="G46" s="4" t="s">
        <v>95</v>
      </c>
      <c r="H46" s="4" t="s">
        <v>50</v>
      </c>
    </row>
    <row r="47" spans="1:9" x14ac:dyDescent="0.25">
      <c r="A47" t="s">
        <v>46</v>
      </c>
      <c r="B47" s="2">
        <f>1/12</f>
        <v>8.3333333333333329E-2</v>
      </c>
      <c r="C47" s="5">
        <f t="shared" ref="C47:C58" si="21">B47*C$29</f>
        <v>1</v>
      </c>
      <c r="D47" s="2">
        <v>1</v>
      </c>
      <c r="E47" s="19">
        <f>D47*C47/60</f>
        <v>1.6666666666666666E-2</v>
      </c>
      <c r="F47" s="14">
        <f>E47*60</f>
        <v>1</v>
      </c>
      <c r="G47" s="15">
        <f t="shared" ref="G47:G58" si="22">828/1600</f>
        <v>0.51749999999999996</v>
      </c>
      <c r="H47" s="20">
        <f>E47*G47</f>
        <v>8.624999999999999E-3</v>
      </c>
    </row>
    <row r="48" spans="1:9" x14ac:dyDescent="0.25">
      <c r="A48" t="s">
        <v>46</v>
      </c>
      <c r="B48" s="2">
        <f>B47</f>
        <v>8.3333333333333329E-2</v>
      </c>
      <c r="C48" s="5">
        <f t="shared" si="21"/>
        <v>1</v>
      </c>
      <c r="D48" s="2">
        <f>D47+1</f>
        <v>2</v>
      </c>
      <c r="E48" s="19">
        <f t="shared" ref="E48:E58" si="23">D48*C48/60</f>
        <v>3.3333333333333333E-2</v>
      </c>
      <c r="F48" s="14">
        <f t="shared" ref="F48:F58" si="24">E48*60</f>
        <v>2</v>
      </c>
      <c r="G48" s="15">
        <f t="shared" si="22"/>
        <v>0.51749999999999996</v>
      </c>
      <c r="H48" s="20">
        <f t="shared" ref="H48:H58" si="25">E48*G48</f>
        <v>1.7249999999999998E-2</v>
      </c>
    </row>
    <row r="49" spans="1:8" x14ac:dyDescent="0.25">
      <c r="A49" t="s">
        <v>46</v>
      </c>
      <c r="B49" s="2">
        <f t="shared" ref="B49:B58" si="26">B48</f>
        <v>8.3333333333333329E-2</v>
      </c>
      <c r="C49" s="5">
        <f t="shared" si="21"/>
        <v>1</v>
      </c>
      <c r="D49" s="2">
        <f t="shared" ref="D49:D53" si="27">D48+1</f>
        <v>3</v>
      </c>
      <c r="E49" s="19">
        <f t="shared" si="23"/>
        <v>0.05</v>
      </c>
      <c r="F49" s="14">
        <f t="shared" si="24"/>
        <v>3</v>
      </c>
      <c r="G49" s="15">
        <f t="shared" si="22"/>
        <v>0.51749999999999996</v>
      </c>
      <c r="H49" s="20">
        <f t="shared" si="25"/>
        <v>2.5874999999999999E-2</v>
      </c>
    </row>
    <row r="50" spans="1:8" x14ac:dyDescent="0.25">
      <c r="A50" t="s">
        <v>46</v>
      </c>
      <c r="B50" s="2">
        <f t="shared" si="26"/>
        <v>8.3333333333333329E-2</v>
      </c>
      <c r="C50" s="5">
        <f t="shared" si="21"/>
        <v>1</v>
      </c>
      <c r="D50" s="2">
        <f t="shared" si="27"/>
        <v>4</v>
      </c>
      <c r="E50" s="19">
        <f t="shared" si="23"/>
        <v>6.6666666666666666E-2</v>
      </c>
      <c r="F50" s="14">
        <f t="shared" si="24"/>
        <v>4</v>
      </c>
      <c r="G50" s="15">
        <f t="shared" si="22"/>
        <v>0.51749999999999996</v>
      </c>
      <c r="H50" s="20">
        <f t="shared" si="25"/>
        <v>3.4499999999999996E-2</v>
      </c>
    </row>
    <row r="51" spans="1:8" x14ac:dyDescent="0.25">
      <c r="A51" t="s">
        <v>46</v>
      </c>
      <c r="B51" s="2">
        <f t="shared" si="26"/>
        <v>8.3333333333333329E-2</v>
      </c>
      <c r="C51" s="5">
        <f t="shared" si="21"/>
        <v>1</v>
      </c>
      <c r="D51" s="2">
        <f t="shared" si="27"/>
        <v>5</v>
      </c>
      <c r="E51" s="19">
        <f t="shared" si="23"/>
        <v>8.3333333333333329E-2</v>
      </c>
      <c r="F51" s="14">
        <f t="shared" si="24"/>
        <v>5</v>
      </c>
      <c r="G51" s="15">
        <f t="shared" si="22"/>
        <v>0.51749999999999996</v>
      </c>
      <c r="H51" s="20">
        <f t="shared" si="25"/>
        <v>4.3124999999999997E-2</v>
      </c>
    </row>
    <row r="52" spans="1:8" x14ac:dyDescent="0.25">
      <c r="A52" t="s">
        <v>46</v>
      </c>
      <c r="B52" s="2">
        <f t="shared" si="26"/>
        <v>8.3333333333333329E-2</v>
      </c>
      <c r="C52" s="5">
        <f t="shared" si="21"/>
        <v>1</v>
      </c>
      <c r="D52" s="2">
        <f t="shared" si="27"/>
        <v>6</v>
      </c>
      <c r="E52" s="19">
        <f t="shared" si="23"/>
        <v>0.1</v>
      </c>
      <c r="F52" s="14">
        <f t="shared" si="24"/>
        <v>6</v>
      </c>
      <c r="G52" s="15">
        <f t="shared" si="22"/>
        <v>0.51749999999999996</v>
      </c>
      <c r="H52" s="20">
        <f t="shared" si="25"/>
        <v>5.1749999999999997E-2</v>
      </c>
    </row>
    <row r="53" spans="1:8" x14ac:dyDescent="0.25">
      <c r="A53" t="s">
        <v>46</v>
      </c>
      <c r="B53" s="2">
        <f t="shared" si="26"/>
        <v>8.3333333333333329E-2</v>
      </c>
      <c r="C53" s="5">
        <f t="shared" si="21"/>
        <v>1</v>
      </c>
      <c r="D53" s="2">
        <f t="shared" si="27"/>
        <v>7</v>
      </c>
      <c r="E53" s="19">
        <f t="shared" si="23"/>
        <v>0.11666666666666667</v>
      </c>
      <c r="F53" s="14">
        <f t="shared" si="24"/>
        <v>7</v>
      </c>
      <c r="G53" s="15">
        <f t="shared" si="22"/>
        <v>0.51749999999999996</v>
      </c>
      <c r="H53" s="20">
        <f t="shared" si="25"/>
        <v>6.0374999999999998E-2</v>
      </c>
    </row>
    <row r="54" spans="1:8" x14ac:dyDescent="0.25">
      <c r="A54" t="s">
        <v>46</v>
      </c>
      <c r="B54" s="2">
        <f t="shared" si="26"/>
        <v>8.3333333333333329E-2</v>
      </c>
      <c r="C54" s="5">
        <f t="shared" si="21"/>
        <v>1</v>
      </c>
      <c r="D54" s="2">
        <f>D53+1</f>
        <v>8</v>
      </c>
      <c r="E54" s="19">
        <f t="shared" si="23"/>
        <v>0.13333333333333333</v>
      </c>
      <c r="F54" s="14">
        <f t="shared" si="24"/>
        <v>8</v>
      </c>
      <c r="G54" s="15">
        <f t="shared" si="22"/>
        <v>0.51749999999999996</v>
      </c>
      <c r="H54" s="20">
        <f t="shared" si="25"/>
        <v>6.8999999999999992E-2</v>
      </c>
    </row>
    <row r="55" spans="1:8" x14ac:dyDescent="0.25">
      <c r="A55" t="s">
        <v>46</v>
      </c>
      <c r="B55" s="2">
        <f t="shared" si="26"/>
        <v>8.3333333333333329E-2</v>
      </c>
      <c r="C55" s="5">
        <f t="shared" si="21"/>
        <v>1</v>
      </c>
      <c r="D55" s="2">
        <f t="shared" ref="D55:D58" si="28">D54+1</f>
        <v>9</v>
      </c>
      <c r="E55" s="19">
        <f t="shared" si="23"/>
        <v>0.15</v>
      </c>
      <c r="F55" s="14">
        <f t="shared" si="24"/>
        <v>9</v>
      </c>
      <c r="G55" s="15">
        <f t="shared" si="22"/>
        <v>0.51749999999999996</v>
      </c>
      <c r="H55" s="20">
        <f t="shared" si="25"/>
        <v>7.7624999999999986E-2</v>
      </c>
    </row>
    <row r="56" spans="1:8" x14ac:dyDescent="0.25">
      <c r="A56" t="s">
        <v>46</v>
      </c>
      <c r="B56" s="2">
        <f t="shared" si="26"/>
        <v>8.3333333333333329E-2</v>
      </c>
      <c r="C56" s="5">
        <f t="shared" si="21"/>
        <v>1</v>
      </c>
      <c r="D56" s="2">
        <f t="shared" si="28"/>
        <v>10</v>
      </c>
      <c r="E56" s="19">
        <f t="shared" si="23"/>
        <v>0.16666666666666666</v>
      </c>
      <c r="F56" s="14">
        <f t="shared" si="24"/>
        <v>10</v>
      </c>
      <c r="G56" s="15">
        <f t="shared" si="22"/>
        <v>0.51749999999999996</v>
      </c>
      <c r="H56" s="20">
        <f t="shared" si="25"/>
        <v>8.6249999999999993E-2</v>
      </c>
    </row>
    <row r="57" spans="1:8" x14ac:dyDescent="0.25">
      <c r="A57" t="s">
        <v>46</v>
      </c>
      <c r="B57" s="2">
        <f t="shared" si="26"/>
        <v>8.3333333333333329E-2</v>
      </c>
      <c r="C57" s="5">
        <f t="shared" si="21"/>
        <v>1</v>
      </c>
      <c r="D57" s="2">
        <f t="shared" si="28"/>
        <v>11</v>
      </c>
      <c r="E57" s="19">
        <f t="shared" si="23"/>
        <v>0.18333333333333332</v>
      </c>
      <c r="F57" s="14">
        <f t="shared" si="24"/>
        <v>11</v>
      </c>
      <c r="G57" s="15">
        <f t="shared" si="22"/>
        <v>0.51749999999999996</v>
      </c>
      <c r="H57" s="20">
        <f t="shared" si="25"/>
        <v>9.4874999999999987E-2</v>
      </c>
    </row>
    <row r="58" spans="1:8" x14ac:dyDescent="0.25">
      <c r="A58" t="s">
        <v>46</v>
      </c>
      <c r="B58" s="2">
        <f t="shared" si="26"/>
        <v>8.3333333333333329E-2</v>
      </c>
      <c r="C58" s="5">
        <f t="shared" si="21"/>
        <v>1</v>
      </c>
      <c r="D58" s="2">
        <f t="shared" si="28"/>
        <v>12</v>
      </c>
      <c r="E58" s="19">
        <f t="shared" si="23"/>
        <v>0.2</v>
      </c>
      <c r="F58" s="14">
        <f t="shared" si="24"/>
        <v>12</v>
      </c>
      <c r="G58" s="15">
        <f t="shared" si="22"/>
        <v>0.51749999999999996</v>
      </c>
      <c r="H58" s="20">
        <f t="shared" si="25"/>
        <v>0.10349999999999999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2F6A5-7750-4B40-915E-B8D8E4E70ACD}">
  <dimension ref="A3:E21"/>
  <sheetViews>
    <sheetView workbookViewId="0"/>
  </sheetViews>
  <sheetFormatPr defaultRowHeight="15" x14ac:dyDescent="0.25"/>
  <cols>
    <col min="1" max="1" width="109.140625" bestFit="1" customWidth="1"/>
    <col min="2" max="2" width="14.42578125" style="13" bestFit="1" customWidth="1"/>
    <col min="3" max="4" width="12.7109375" bestFit="1" customWidth="1"/>
  </cols>
  <sheetData>
    <row r="3" spans="1:5" s="2" customFormat="1" x14ac:dyDescent="0.25">
      <c r="A3" s="2" t="s">
        <v>58</v>
      </c>
      <c r="B3" s="3" t="s">
        <v>59</v>
      </c>
      <c r="E3" s="2" t="s">
        <v>109</v>
      </c>
    </row>
    <row r="4" spans="1:5" s="2" customFormat="1" x14ac:dyDescent="0.25">
      <c r="B4" s="3" t="s">
        <v>60</v>
      </c>
      <c r="D4" s="21" t="s">
        <v>115</v>
      </c>
      <c r="E4" s="21">
        <v>14.3</v>
      </c>
    </row>
    <row r="5" spans="1:5" x14ac:dyDescent="0.25">
      <c r="A5" t="s">
        <v>61</v>
      </c>
      <c r="B5" s="13" t="s">
        <v>62</v>
      </c>
      <c r="D5" t="s">
        <v>110</v>
      </c>
      <c r="E5">
        <v>63</v>
      </c>
    </row>
    <row r="6" spans="1:5" x14ac:dyDescent="0.25">
      <c r="A6" t="s">
        <v>63</v>
      </c>
      <c r="B6" s="13" t="s">
        <v>64</v>
      </c>
      <c r="D6" t="s">
        <v>111</v>
      </c>
      <c r="E6" s="22">
        <f>E5/14.3</f>
        <v>4.405594405594405</v>
      </c>
    </row>
    <row r="7" spans="1:5" x14ac:dyDescent="0.25">
      <c r="A7" t="s">
        <v>65</v>
      </c>
      <c r="B7" s="13">
        <v>100</v>
      </c>
      <c r="D7" t="s">
        <v>43</v>
      </c>
    </row>
    <row r="8" spans="1:5" x14ac:dyDescent="0.25">
      <c r="A8" t="s">
        <v>66</v>
      </c>
      <c r="B8" s="13" t="s">
        <v>67</v>
      </c>
    </row>
    <row r="9" spans="1:5" x14ac:dyDescent="0.25">
      <c r="A9" t="s">
        <v>68</v>
      </c>
      <c r="B9" s="13">
        <v>150</v>
      </c>
    </row>
    <row r="10" spans="1:5" x14ac:dyDescent="0.25">
      <c r="A10" t="s">
        <v>69</v>
      </c>
      <c r="B10" s="13">
        <v>200</v>
      </c>
    </row>
    <row r="11" spans="1:5" x14ac:dyDescent="0.25">
      <c r="A11" t="s">
        <v>70</v>
      </c>
      <c r="B11" s="13">
        <v>250</v>
      </c>
    </row>
    <row r="12" spans="1:5" x14ac:dyDescent="0.25">
      <c r="A12" t="s">
        <v>71</v>
      </c>
      <c r="B12" s="13">
        <v>300</v>
      </c>
    </row>
    <row r="13" spans="1:5" x14ac:dyDescent="0.25">
      <c r="A13" t="s">
        <v>72</v>
      </c>
      <c r="B13" s="13">
        <v>500</v>
      </c>
    </row>
    <row r="14" spans="1:5" x14ac:dyDescent="0.25">
      <c r="A14" t="s">
        <v>73</v>
      </c>
      <c r="B14" s="13">
        <v>750</v>
      </c>
    </row>
    <row r="15" spans="1:5" x14ac:dyDescent="0.25">
      <c r="A15" t="s">
        <v>74</v>
      </c>
      <c r="B15" s="13">
        <v>1000</v>
      </c>
    </row>
    <row r="16" spans="1:5" x14ac:dyDescent="0.25">
      <c r="A16" t="s">
        <v>75</v>
      </c>
      <c r="B16" s="13" t="s">
        <v>76</v>
      </c>
    </row>
    <row r="17" spans="1:2" x14ac:dyDescent="0.25">
      <c r="A17" t="s">
        <v>77</v>
      </c>
      <c r="B17" s="13" t="s">
        <v>78</v>
      </c>
    </row>
    <row r="18" spans="1:2" x14ac:dyDescent="0.25">
      <c r="A18" t="s">
        <v>79</v>
      </c>
      <c r="B18" s="13" t="s">
        <v>80</v>
      </c>
    </row>
    <row r="19" spans="1:2" x14ac:dyDescent="0.25">
      <c r="A19" t="s">
        <v>81</v>
      </c>
      <c r="B19" s="13" t="s">
        <v>82</v>
      </c>
    </row>
    <row r="21" spans="1:2" x14ac:dyDescent="0.25">
      <c r="A21" t="s">
        <v>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DE9E7-8645-4E51-961B-6CB0BB10F238}">
  <dimension ref="A1:H26"/>
  <sheetViews>
    <sheetView topLeftCell="A5" workbookViewId="0">
      <selection activeCell="A5" sqref="A5"/>
    </sheetView>
  </sheetViews>
  <sheetFormatPr defaultRowHeight="15" x14ac:dyDescent="0.25"/>
  <cols>
    <col min="1" max="1" width="43.28515625" bestFit="1" customWidth="1"/>
    <col min="3" max="3" width="10.140625" bestFit="1" customWidth="1"/>
    <col min="4" max="4" width="10.85546875" bestFit="1" customWidth="1"/>
    <col min="5" max="5" width="10.140625" bestFit="1" customWidth="1"/>
    <col min="8" max="8" width="65.42578125" bestFit="1" customWidth="1"/>
  </cols>
  <sheetData>
    <row r="1" spans="1:8" x14ac:dyDescent="0.25">
      <c r="A1" s="2" t="s">
        <v>116</v>
      </c>
      <c r="B1" s="3" t="s">
        <v>117</v>
      </c>
    </row>
    <row r="2" spans="1:8" x14ac:dyDescent="0.25">
      <c r="A2" t="s">
        <v>118</v>
      </c>
      <c r="B2" s="24">
        <v>1000</v>
      </c>
    </row>
    <row r="3" spans="1:8" x14ac:dyDescent="0.25">
      <c r="A3" t="s">
        <v>119</v>
      </c>
      <c r="B3" s="24">
        <v>1000</v>
      </c>
    </row>
    <row r="4" spans="1:8" x14ac:dyDescent="0.25">
      <c r="A4" t="s">
        <v>120</v>
      </c>
      <c r="B4" s="24">
        <f>B3/B2</f>
        <v>1</v>
      </c>
    </row>
    <row r="5" spans="1:8" x14ac:dyDescent="0.25">
      <c r="C5" s="24"/>
    </row>
    <row r="6" spans="1:8" s="4" customFormat="1" ht="30" x14ac:dyDescent="0.25">
      <c r="A6" s="4" t="s">
        <v>121</v>
      </c>
      <c r="B6" s="4" t="s">
        <v>122</v>
      </c>
      <c r="C6" s="4" t="s">
        <v>123</v>
      </c>
      <c r="D6" s="4" t="s">
        <v>124</v>
      </c>
      <c r="E6" s="4" t="s">
        <v>20</v>
      </c>
      <c r="F6" s="4" t="s">
        <v>125</v>
      </c>
      <c r="G6" s="4" t="s">
        <v>126</v>
      </c>
      <c r="H6" s="25" t="s">
        <v>30</v>
      </c>
    </row>
    <row r="7" spans="1:8" x14ac:dyDescent="0.25">
      <c r="A7" t="s">
        <v>127</v>
      </c>
      <c r="B7" s="26" t="s">
        <v>130</v>
      </c>
      <c r="C7">
        <v>1</v>
      </c>
      <c r="D7" s="24">
        <f>B$4</f>
        <v>1</v>
      </c>
      <c r="E7">
        <v>2</v>
      </c>
      <c r="F7" s="31">
        <f>C7*D7*E7/60</f>
        <v>3.3333333333333333E-2</v>
      </c>
      <c r="G7" s="31"/>
      <c r="H7" t="s">
        <v>131</v>
      </c>
    </row>
    <row r="8" spans="1:8" x14ac:dyDescent="0.25">
      <c r="A8" t="s">
        <v>133</v>
      </c>
      <c r="B8" s="26" t="s">
        <v>130</v>
      </c>
      <c r="C8">
        <v>1</v>
      </c>
      <c r="D8" s="24">
        <f>B$4</f>
        <v>1</v>
      </c>
      <c r="E8">
        <v>2</v>
      </c>
      <c r="F8" s="31">
        <f>C8*D8*E8/60</f>
        <v>3.3333333333333333E-2</v>
      </c>
      <c r="G8" s="31"/>
      <c r="H8" t="s">
        <v>131</v>
      </c>
    </row>
    <row r="9" spans="1:8" x14ac:dyDescent="0.25">
      <c r="A9" t="s">
        <v>134</v>
      </c>
      <c r="B9" s="26" t="s">
        <v>135</v>
      </c>
      <c r="C9">
        <v>30</v>
      </c>
      <c r="D9" s="24">
        <v>1</v>
      </c>
      <c r="E9">
        <v>4</v>
      </c>
      <c r="F9" s="31">
        <f>C9*D9*E9/60</f>
        <v>2</v>
      </c>
      <c r="G9" s="31"/>
      <c r="H9" t="s">
        <v>131</v>
      </c>
    </row>
    <row r="10" spans="1:8" x14ac:dyDescent="0.25">
      <c r="A10" t="s">
        <v>136</v>
      </c>
      <c r="B10" s="13" t="s">
        <v>137</v>
      </c>
      <c r="C10">
        <v>5</v>
      </c>
      <c r="D10" s="24">
        <f>B$4</f>
        <v>1</v>
      </c>
      <c r="E10">
        <v>1</v>
      </c>
      <c r="F10" s="31">
        <f>C10*D10*E10/60</f>
        <v>8.3333333333333329E-2</v>
      </c>
      <c r="G10" s="31"/>
      <c r="H10" t="s">
        <v>138</v>
      </c>
    </row>
    <row r="11" spans="1:8" x14ac:dyDescent="0.25">
      <c r="B11" s="13"/>
      <c r="F11" s="24"/>
    </row>
    <row r="12" spans="1:8" x14ac:dyDescent="0.25">
      <c r="A12" t="s">
        <v>150</v>
      </c>
      <c r="B12" s="13" t="s">
        <v>132</v>
      </c>
      <c r="C12">
        <v>1</v>
      </c>
      <c r="D12" s="24">
        <f>B$4</f>
        <v>1</v>
      </c>
      <c r="E12">
        <f>52*5</f>
        <v>260</v>
      </c>
      <c r="G12" s="31">
        <f>C12*D12*E12*0.05/60</f>
        <v>0.21666666666666667</v>
      </c>
      <c r="H12" t="s">
        <v>153</v>
      </c>
    </row>
    <row r="13" spans="1:8" x14ac:dyDescent="0.25">
      <c r="A13" t="s">
        <v>146</v>
      </c>
      <c r="B13" s="13" t="s">
        <v>128</v>
      </c>
      <c r="C13">
        <v>1</v>
      </c>
      <c r="D13" s="24">
        <f>B$4</f>
        <v>1</v>
      </c>
      <c r="E13">
        <v>52</v>
      </c>
      <c r="F13" s="31"/>
      <c r="G13" s="31">
        <f>C13*D13*E13/60</f>
        <v>0.8666666666666667</v>
      </c>
      <c r="H13" t="s">
        <v>129</v>
      </c>
    </row>
    <row r="14" spans="1:8" x14ac:dyDescent="0.25">
      <c r="A14" t="s">
        <v>147</v>
      </c>
      <c r="B14" s="13" t="s">
        <v>128</v>
      </c>
      <c r="C14">
        <v>1</v>
      </c>
      <c r="D14" s="24">
        <f>B$4</f>
        <v>1</v>
      </c>
      <c r="E14">
        <v>52</v>
      </c>
      <c r="F14" s="31"/>
      <c r="G14" s="31">
        <f>C14*D14*E14/60</f>
        <v>0.8666666666666667</v>
      </c>
      <c r="H14" t="s">
        <v>129</v>
      </c>
    </row>
    <row r="15" spans="1:8" x14ac:dyDescent="0.25">
      <c r="A15" t="s">
        <v>148</v>
      </c>
      <c r="B15" s="13" t="s">
        <v>139</v>
      </c>
      <c r="C15">
        <v>1</v>
      </c>
      <c r="D15" s="24">
        <f>B$4</f>
        <v>1</v>
      </c>
      <c r="E15" s="23">
        <f>52*5*0.05</f>
        <v>13</v>
      </c>
      <c r="F15" s="31"/>
      <c r="G15" s="31">
        <f>C15*D15*E15/60</f>
        <v>0.21666666666666667</v>
      </c>
      <c r="H15" t="s">
        <v>140</v>
      </c>
    </row>
    <row r="16" spans="1:8" x14ac:dyDescent="0.25">
      <c r="B16" s="13"/>
      <c r="D16" s="24"/>
      <c r="E16" s="23"/>
      <c r="F16" s="31"/>
      <c r="G16" s="31"/>
    </row>
    <row r="17" spans="1:8" x14ac:dyDescent="0.25">
      <c r="A17" t="s">
        <v>141</v>
      </c>
      <c r="B17" s="13" t="s">
        <v>128</v>
      </c>
      <c r="C17">
        <v>1</v>
      </c>
      <c r="D17">
        <v>1</v>
      </c>
      <c r="E17">
        <v>52</v>
      </c>
      <c r="F17" s="24">
        <f>C17*D17*E17/60</f>
        <v>0.8666666666666667</v>
      </c>
      <c r="H17" t="s">
        <v>131</v>
      </c>
    </row>
    <row r="18" spans="1:8" x14ac:dyDescent="0.25">
      <c r="A18" t="s">
        <v>142</v>
      </c>
      <c r="B18" s="13" t="s">
        <v>128</v>
      </c>
      <c r="C18">
        <v>1</v>
      </c>
      <c r="D18">
        <v>1</v>
      </c>
      <c r="E18">
        <v>52</v>
      </c>
      <c r="G18" s="24">
        <f>C18*D18*E18/60</f>
        <v>0.8666666666666667</v>
      </c>
      <c r="H18" t="s">
        <v>131</v>
      </c>
    </row>
    <row r="19" spans="1:8" x14ac:dyDescent="0.25">
      <c r="A19" s="27"/>
      <c r="B19" s="27"/>
      <c r="C19" s="27"/>
      <c r="D19" s="27"/>
      <c r="E19" s="27"/>
      <c r="F19" s="28"/>
      <c r="G19" s="27"/>
    </row>
    <row r="20" spans="1:8" x14ac:dyDescent="0.25">
      <c r="A20" s="1" t="s">
        <v>149</v>
      </c>
      <c r="B20" s="1"/>
      <c r="F20" s="31">
        <f>SUM(F7:F19)</f>
        <v>3.0166666666666671</v>
      </c>
      <c r="G20" s="31">
        <f>SUM(G7:G19)</f>
        <v>3.0333333333333337</v>
      </c>
    </row>
    <row r="21" spans="1:8" x14ac:dyDescent="0.25">
      <c r="A21" s="1"/>
      <c r="B21" s="1"/>
      <c r="F21" s="24"/>
      <c r="G21" s="24"/>
    </row>
    <row r="22" spans="1:8" x14ac:dyDescent="0.25">
      <c r="A22" s="13"/>
      <c r="B22" s="13"/>
      <c r="C22" s="3" t="s">
        <v>143</v>
      </c>
      <c r="D22" s="3" t="s">
        <v>144</v>
      </c>
      <c r="E22" s="29" t="s">
        <v>145</v>
      </c>
    </row>
    <row r="23" spans="1:8" x14ac:dyDescent="0.25">
      <c r="A23" s="1" t="s">
        <v>151</v>
      </c>
      <c r="B23" s="1"/>
      <c r="C23" s="24">
        <f>F20</f>
        <v>3.0166666666666671</v>
      </c>
      <c r="D23" s="30">
        <f>C23*100</f>
        <v>301.66666666666669</v>
      </c>
      <c r="E23" s="30">
        <f>20*B4</f>
        <v>20</v>
      </c>
    </row>
    <row r="24" spans="1:8" x14ac:dyDescent="0.25">
      <c r="A24" s="32" t="s">
        <v>152</v>
      </c>
      <c r="B24" s="32"/>
      <c r="C24" s="33">
        <f>G20</f>
        <v>3.0333333333333337</v>
      </c>
      <c r="D24" s="34">
        <f t="shared" ref="D24" si="0">C24*100</f>
        <v>303.33333333333337</v>
      </c>
      <c r="E24" s="35">
        <f>20*B4</f>
        <v>20</v>
      </c>
    </row>
    <row r="25" spans="1:8" x14ac:dyDescent="0.25">
      <c r="A25" s="1"/>
      <c r="B25" s="1"/>
      <c r="C25" s="24"/>
      <c r="D25" s="24"/>
      <c r="E25" s="24"/>
    </row>
    <row r="26" spans="1:8" x14ac:dyDescent="0.25">
      <c r="A26" s="1"/>
      <c r="C26" s="24"/>
      <c r="D26" s="30"/>
      <c r="E26" s="30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3CCCD-AE66-4CEE-AC11-7806D6C82138}">
  <dimension ref="A2:B12"/>
  <sheetViews>
    <sheetView tabSelected="1" workbookViewId="0">
      <selection activeCell="B8" sqref="B8:B12"/>
    </sheetView>
  </sheetViews>
  <sheetFormatPr defaultRowHeight="15" x14ac:dyDescent="0.25"/>
  <cols>
    <col min="1" max="1" width="12.7109375" customWidth="1"/>
    <col min="2" max="2" width="13.5703125" customWidth="1"/>
  </cols>
  <sheetData>
    <row r="2" spans="1:2" s="37" customFormat="1" ht="60" x14ac:dyDescent="0.25">
      <c r="A2" s="37" t="s">
        <v>154</v>
      </c>
      <c r="B2" s="37" t="s">
        <v>155</v>
      </c>
    </row>
    <row r="3" spans="1:2" x14ac:dyDescent="0.25">
      <c r="A3">
        <v>1</v>
      </c>
      <c r="B3" s="36">
        <f>1/A3</f>
        <v>1</v>
      </c>
    </row>
    <row r="4" spans="1:2" x14ac:dyDescent="0.25">
      <c r="A4">
        <v>2</v>
      </c>
      <c r="B4" s="36">
        <f t="shared" ref="B4:B12" si="0">1/A4</f>
        <v>0.5</v>
      </c>
    </row>
    <row r="5" spans="1:2" x14ac:dyDescent="0.25">
      <c r="A5">
        <v>3</v>
      </c>
      <c r="B5" s="36">
        <f t="shared" si="0"/>
        <v>0.33333333333333331</v>
      </c>
    </row>
    <row r="6" spans="1:2" x14ac:dyDescent="0.25">
      <c r="A6">
        <v>4</v>
      </c>
      <c r="B6" s="36">
        <f t="shared" si="0"/>
        <v>0.25</v>
      </c>
    </row>
    <row r="7" spans="1:2" x14ac:dyDescent="0.25">
      <c r="A7">
        <v>5</v>
      </c>
      <c r="B7" s="36">
        <f t="shared" si="0"/>
        <v>0.2</v>
      </c>
    </row>
    <row r="8" spans="1:2" x14ac:dyDescent="0.25">
      <c r="A8">
        <v>6</v>
      </c>
      <c r="B8" s="36">
        <f t="shared" si="0"/>
        <v>0.16666666666666666</v>
      </c>
    </row>
    <row r="9" spans="1:2" x14ac:dyDescent="0.25">
      <c r="A9">
        <v>7</v>
      </c>
      <c r="B9" s="36">
        <f t="shared" si="0"/>
        <v>0.14285714285714285</v>
      </c>
    </row>
    <row r="10" spans="1:2" x14ac:dyDescent="0.25">
      <c r="A10">
        <v>8</v>
      </c>
      <c r="B10" s="36">
        <f t="shared" si="0"/>
        <v>0.125</v>
      </c>
    </row>
    <row r="11" spans="1:2" x14ac:dyDescent="0.25">
      <c r="A11">
        <v>9</v>
      </c>
      <c r="B11" s="36">
        <f t="shared" si="0"/>
        <v>0.1111111111111111</v>
      </c>
    </row>
    <row r="12" spans="1:2" x14ac:dyDescent="0.25">
      <c r="A12">
        <v>10</v>
      </c>
      <c r="B12" s="36">
        <f t="shared" si="0"/>
        <v>0.1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</vt:lpstr>
      <vt:lpstr>House</vt:lpstr>
      <vt:lpstr>Rooms</vt:lpstr>
      <vt:lpstr>Lighting</vt:lpstr>
      <vt:lpstr>QII Costs</vt:lpstr>
      <vt:lpstr>Roof Solar</vt:lpstr>
    </vt:vector>
  </TitlesOfParts>
  <Company>Drexel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walt</dc:creator>
  <cp:lastModifiedBy> walt</cp:lastModifiedBy>
  <dcterms:created xsi:type="dcterms:W3CDTF">2023-12-21T00:14:52Z</dcterms:created>
  <dcterms:modified xsi:type="dcterms:W3CDTF">2024-06-20T13:34:16Z</dcterms:modified>
</cp:coreProperties>
</file>