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z-places\Elizandra\Cassbeth\cleanairbuildings\"/>
    </mc:Choice>
  </mc:AlternateContent>
  <xr:revisionPtr revIDLastSave="0" documentId="13_ncr:1_{61723B22-712D-4DD4-A4F0-321AB1E04144}" xr6:coauthVersionLast="47" xr6:coauthVersionMax="47" xr10:uidLastSave="{00000000-0000-0000-0000-000000000000}"/>
  <bookViews>
    <workbookView xWindow="-120" yWindow="-120" windowWidth="20730" windowHeight="11310" tabRatio="833" activeTab="6" xr2:uid="{00000000-000D-0000-FFFF-FFFF00000000}"/>
  </bookViews>
  <sheets>
    <sheet name="Cover" sheetId="1" r:id="rId1"/>
    <sheet name="ACH Calc Ex" sheetId="51" r:id="rId2"/>
    <sheet name="eACH Calc" sheetId="52" r:id="rId3"/>
    <sheet name="Facility" sheetId="53" r:id="rId4"/>
    <sheet name="Vents" sheetId="54" r:id="rId5"/>
    <sheet name="ASHRAE 62.1" sheetId="55" r:id="rId6"/>
    <sheet name="ASHRAE 241P" sheetId="57" r:id="rId7"/>
    <sheet name="UV" sheetId="5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5" i="57" l="1"/>
  <c r="G145" i="57"/>
  <c r="F145" i="57"/>
  <c r="H144" i="57"/>
  <c r="G144" i="57"/>
  <c r="F144" i="57"/>
  <c r="H143" i="57"/>
  <c r="G143" i="57"/>
  <c r="F143" i="57"/>
  <c r="H142" i="57"/>
  <c r="G142" i="57"/>
  <c r="F142" i="57"/>
  <c r="H141" i="57"/>
  <c r="G141" i="57"/>
  <c r="F141" i="57"/>
  <c r="H140" i="57"/>
  <c r="G140" i="57"/>
  <c r="F140" i="57"/>
  <c r="H139" i="57"/>
  <c r="G139" i="57"/>
  <c r="F139" i="57"/>
  <c r="H138" i="57"/>
  <c r="G138" i="57"/>
  <c r="F138" i="57"/>
  <c r="H137" i="57"/>
  <c r="G137" i="57"/>
  <c r="F137" i="57"/>
  <c r="H136" i="57"/>
  <c r="G136" i="57"/>
  <c r="F136" i="57"/>
  <c r="H135" i="57"/>
  <c r="G135" i="57"/>
  <c r="F135" i="57"/>
  <c r="H134" i="57"/>
  <c r="G134" i="57"/>
  <c r="F134" i="57"/>
  <c r="H133" i="57"/>
  <c r="G133" i="57"/>
  <c r="F133" i="57"/>
  <c r="H132" i="57"/>
  <c r="G132" i="57"/>
  <c r="F132" i="57"/>
  <c r="E145" i="57"/>
  <c r="D145" i="57"/>
  <c r="C145" i="57"/>
  <c r="E144" i="57"/>
  <c r="D144" i="57"/>
  <c r="C144" i="57"/>
  <c r="E143" i="57"/>
  <c r="D143" i="57"/>
  <c r="C143" i="57"/>
  <c r="E142" i="57"/>
  <c r="D142" i="57"/>
  <c r="C142" i="57"/>
  <c r="E141" i="57"/>
  <c r="D141" i="57"/>
  <c r="C141" i="57"/>
  <c r="E140" i="57"/>
  <c r="D140" i="57"/>
  <c r="C140" i="57"/>
  <c r="E139" i="57"/>
  <c r="D139" i="57"/>
  <c r="C139" i="57"/>
  <c r="E138" i="57"/>
  <c r="D138" i="57"/>
  <c r="C138" i="57"/>
  <c r="E137" i="57"/>
  <c r="D137" i="57"/>
  <c r="C137" i="57"/>
  <c r="E136" i="57"/>
  <c r="D136" i="57"/>
  <c r="C136" i="57"/>
  <c r="E135" i="57"/>
  <c r="D135" i="57"/>
  <c r="C135" i="57"/>
  <c r="E134" i="57"/>
  <c r="D134" i="57"/>
  <c r="C134" i="57"/>
  <c r="E133" i="57"/>
  <c r="D133" i="57"/>
  <c r="C133" i="57"/>
  <c r="E132" i="57"/>
  <c r="D132" i="57"/>
  <c r="C132" i="57"/>
  <c r="I128" i="57"/>
  <c r="I127" i="57"/>
  <c r="I126" i="57"/>
  <c r="I125" i="57"/>
  <c r="I124" i="57"/>
  <c r="I123" i="57"/>
  <c r="I122" i="57"/>
  <c r="I121" i="57"/>
  <c r="I120" i="57"/>
  <c r="I119" i="57"/>
  <c r="I118" i="57"/>
  <c r="I117" i="57"/>
  <c r="I116" i="57"/>
  <c r="I115" i="57"/>
  <c r="H128" i="57"/>
  <c r="G128" i="57"/>
  <c r="F128" i="57"/>
  <c r="E128" i="57"/>
  <c r="D128" i="57"/>
  <c r="C128" i="57"/>
  <c r="H127" i="57"/>
  <c r="G127" i="57"/>
  <c r="F127" i="57"/>
  <c r="E127" i="57"/>
  <c r="D127" i="57"/>
  <c r="C127" i="57"/>
  <c r="H126" i="57"/>
  <c r="G126" i="57"/>
  <c r="F126" i="57"/>
  <c r="E126" i="57"/>
  <c r="D126" i="57"/>
  <c r="C126" i="57"/>
  <c r="H125" i="57"/>
  <c r="G125" i="57"/>
  <c r="F125" i="57"/>
  <c r="E125" i="57"/>
  <c r="D125" i="57"/>
  <c r="C125" i="57"/>
  <c r="H124" i="57"/>
  <c r="G124" i="57"/>
  <c r="F124" i="57"/>
  <c r="E124" i="57"/>
  <c r="D124" i="57"/>
  <c r="C124" i="57"/>
  <c r="H123" i="57"/>
  <c r="G123" i="57"/>
  <c r="F123" i="57"/>
  <c r="E123" i="57"/>
  <c r="D123" i="57"/>
  <c r="C123" i="57"/>
  <c r="H122" i="57"/>
  <c r="G122" i="57"/>
  <c r="F122" i="57"/>
  <c r="E122" i="57"/>
  <c r="D122" i="57"/>
  <c r="C122" i="57"/>
  <c r="H121" i="57"/>
  <c r="G121" i="57"/>
  <c r="F121" i="57"/>
  <c r="E121" i="57"/>
  <c r="D121" i="57"/>
  <c r="C121" i="57"/>
  <c r="H120" i="57"/>
  <c r="G120" i="57"/>
  <c r="F120" i="57"/>
  <c r="E120" i="57"/>
  <c r="D120" i="57"/>
  <c r="C120" i="57"/>
  <c r="H119" i="57"/>
  <c r="G119" i="57"/>
  <c r="F119" i="57"/>
  <c r="E119" i="57"/>
  <c r="D119" i="57"/>
  <c r="C119" i="57"/>
  <c r="H118" i="57"/>
  <c r="G118" i="57"/>
  <c r="F118" i="57"/>
  <c r="E118" i="57"/>
  <c r="D118" i="57"/>
  <c r="C118" i="57"/>
  <c r="H117" i="57"/>
  <c r="G117" i="57"/>
  <c r="F117" i="57"/>
  <c r="E117" i="57"/>
  <c r="D117" i="57"/>
  <c r="C117" i="57"/>
  <c r="H116" i="57"/>
  <c r="G116" i="57"/>
  <c r="F116" i="57"/>
  <c r="E116" i="57"/>
  <c r="D116" i="57"/>
  <c r="C116" i="57"/>
  <c r="E115" i="57"/>
  <c r="D115" i="57"/>
  <c r="H115" i="57"/>
  <c r="G115" i="57"/>
  <c r="F115" i="57"/>
  <c r="C115" i="57"/>
  <c r="C112" i="57"/>
  <c r="I112" i="57"/>
  <c r="D112" i="57"/>
  <c r="E112" i="57"/>
  <c r="F112" i="57"/>
  <c r="G112" i="57"/>
  <c r="H112" i="57"/>
  <c r="H111" i="57"/>
  <c r="G111" i="57"/>
  <c r="F111" i="57"/>
  <c r="E111" i="57"/>
  <c r="D111" i="57"/>
  <c r="C111" i="57"/>
  <c r="H110" i="57"/>
  <c r="G110" i="57"/>
  <c r="F110" i="57"/>
  <c r="E110" i="57"/>
  <c r="D110" i="57"/>
  <c r="C110" i="57"/>
  <c r="I110" i="57" s="1"/>
  <c r="I109" i="57"/>
  <c r="I108" i="57"/>
  <c r="I107" i="57"/>
  <c r="I106" i="57"/>
  <c r="I105" i="57"/>
  <c r="I104" i="57"/>
  <c r="I103" i="57"/>
  <c r="I102" i="57"/>
  <c r="I101" i="57"/>
  <c r="I100" i="57"/>
  <c r="I99" i="57"/>
  <c r="H109" i="57"/>
  <c r="G109" i="57"/>
  <c r="F109" i="57"/>
  <c r="E109" i="57"/>
  <c r="D109" i="57"/>
  <c r="H108" i="57"/>
  <c r="G108" i="57"/>
  <c r="F108" i="57"/>
  <c r="E108" i="57"/>
  <c r="D108" i="57"/>
  <c r="H107" i="57"/>
  <c r="G107" i="57"/>
  <c r="F107" i="57"/>
  <c r="E107" i="57"/>
  <c r="D107" i="57"/>
  <c r="H106" i="57"/>
  <c r="G106" i="57"/>
  <c r="F106" i="57"/>
  <c r="E106" i="57"/>
  <c r="D106" i="57"/>
  <c r="H105" i="57"/>
  <c r="G105" i="57"/>
  <c r="F105" i="57"/>
  <c r="E105" i="57"/>
  <c r="D105" i="57"/>
  <c r="H104" i="57"/>
  <c r="G104" i="57"/>
  <c r="F104" i="57"/>
  <c r="E104" i="57"/>
  <c r="D104" i="57"/>
  <c r="H103" i="57"/>
  <c r="G103" i="57"/>
  <c r="F103" i="57"/>
  <c r="E103" i="57"/>
  <c r="D103" i="57"/>
  <c r="H102" i="57"/>
  <c r="G102" i="57"/>
  <c r="F102" i="57"/>
  <c r="E102" i="57"/>
  <c r="D102" i="57"/>
  <c r="H101" i="57"/>
  <c r="G101" i="57"/>
  <c r="F101" i="57"/>
  <c r="E101" i="57"/>
  <c r="D101" i="57"/>
  <c r="H100" i="57"/>
  <c r="G100" i="57"/>
  <c r="F100" i="57"/>
  <c r="E100" i="57"/>
  <c r="D100" i="57"/>
  <c r="H99" i="57"/>
  <c r="G99" i="57"/>
  <c r="F99" i="57"/>
  <c r="E99" i="57"/>
  <c r="D99" i="57"/>
  <c r="C109" i="57"/>
  <c r="C108" i="57"/>
  <c r="C107" i="57"/>
  <c r="C106" i="57"/>
  <c r="C105" i="57"/>
  <c r="C104" i="57"/>
  <c r="C103" i="57"/>
  <c r="C102" i="57"/>
  <c r="C101" i="57"/>
  <c r="C100" i="57"/>
  <c r="C99" i="57"/>
  <c r="F95" i="57"/>
  <c r="C95" i="57" s="1"/>
  <c r="F94" i="57"/>
  <c r="C94" i="57" s="1"/>
  <c r="F92" i="57"/>
  <c r="C92" i="57" s="1"/>
  <c r="F91" i="57"/>
  <c r="C91" i="57" s="1"/>
  <c r="F90" i="57"/>
  <c r="C90" i="57" s="1"/>
  <c r="F89" i="57"/>
  <c r="C89" i="57" s="1"/>
  <c r="F88" i="57"/>
  <c r="C88" i="57" s="1"/>
  <c r="F87" i="57"/>
  <c r="C87" i="57" s="1"/>
  <c r="F85" i="57"/>
  <c r="C85" i="57" s="1"/>
  <c r="F84" i="57"/>
  <c r="C84" i="57" s="1"/>
  <c r="F83" i="57"/>
  <c r="C83" i="57" s="1"/>
  <c r="F82" i="57"/>
  <c r="C82" i="57" s="1"/>
  <c r="F81" i="57"/>
  <c r="C81" i="57" s="1"/>
  <c r="F79" i="57"/>
  <c r="C79" i="57" s="1"/>
  <c r="F78" i="57"/>
  <c r="C78" i="57" s="1"/>
  <c r="F77" i="57"/>
  <c r="C77" i="57" s="1"/>
  <c r="F75" i="57"/>
  <c r="C75" i="57" s="1"/>
  <c r="F74" i="57"/>
  <c r="C74" i="57" s="1"/>
  <c r="F72" i="57"/>
  <c r="C72" i="57" s="1"/>
  <c r="F71" i="57"/>
  <c r="C71" i="57" s="1"/>
  <c r="F70" i="57"/>
  <c r="C70" i="57" s="1"/>
  <c r="F69" i="57"/>
  <c r="C69" i="57" s="1"/>
  <c r="F68" i="57"/>
  <c r="C68" i="57" s="1"/>
  <c r="F65" i="57"/>
  <c r="C65" i="57" s="1"/>
  <c r="G66" i="57"/>
  <c r="F66" i="57" s="1"/>
  <c r="C66" i="57" s="1"/>
  <c r="I19" i="57"/>
  <c r="H19" i="57"/>
  <c r="I18" i="57"/>
  <c r="H18" i="57"/>
  <c r="I17" i="57"/>
  <c r="H17" i="57"/>
  <c r="I16" i="57"/>
  <c r="H16" i="57"/>
  <c r="I15" i="57"/>
  <c r="H15" i="57"/>
  <c r="I14" i="57"/>
  <c r="H14" i="57"/>
  <c r="I13" i="57"/>
  <c r="H13" i="57"/>
  <c r="I12" i="57"/>
  <c r="H12" i="57"/>
  <c r="I11" i="57"/>
  <c r="H11" i="57"/>
  <c r="I10" i="57"/>
  <c r="H10" i="57"/>
  <c r="I9" i="57"/>
  <c r="H9" i="57"/>
  <c r="I8" i="57"/>
  <c r="H8" i="57"/>
  <c r="I7" i="57"/>
  <c r="H7" i="57"/>
  <c r="F57" i="57"/>
  <c r="F56" i="57"/>
  <c r="F54" i="57"/>
  <c r="F53" i="57"/>
  <c r="F52" i="57"/>
  <c r="F51" i="57"/>
  <c r="F50" i="57"/>
  <c r="F49" i="57"/>
  <c r="F47" i="57"/>
  <c r="F46" i="57"/>
  <c r="F45" i="57"/>
  <c r="F44" i="57"/>
  <c r="F43" i="57"/>
  <c r="F41" i="57"/>
  <c r="F40" i="57"/>
  <c r="F39" i="57"/>
  <c r="F37" i="57"/>
  <c r="F36" i="57"/>
  <c r="F34" i="57"/>
  <c r="F33" i="57"/>
  <c r="F32" i="57"/>
  <c r="F31" i="57"/>
  <c r="F30" i="57"/>
  <c r="F28" i="57"/>
  <c r="F27" i="57"/>
  <c r="G57" i="57"/>
  <c r="G56" i="57"/>
  <c r="G54" i="57"/>
  <c r="G53" i="57"/>
  <c r="G52" i="57"/>
  <c r="G51" i="57"/>
  <c r="G50" i="57"/>
  <c r="G49" i="57"/>
  <c r="G47" i="57"/>
  <c r="G46" i="57"/>
  <c r="G45" i="57"/>
  <c r="G44" i="57"/>
  <c r="G43" i="57"/>
  <c r="G41" i="57"/>
  <c r="G40" i="57"/>
  <c r="G39" i="57"/>
  <c r="G37" i="57"/>
  <c r="G36" i="57"/>
  <c r="G34" i="57"/>
  <c r="G33" i="57"/>
  <c r="G32" i="57"/>
  <c r="G31" i="57"/>
  <c r="G30" i="57"/>
  <c r="G28" i="57"/>
  <c r="G27" i="57"/>
  <c r="J8" i="57"/>
  <c r="K19" i="57"/>
  <c r="J19" i="57"/>
  <c r="K18" i="57"/>
  <c r="J18" i="57"/>
  <c r="K17" i="57"/>
  <c r="J17" i="57"/>
  <c r="K16" i="57"/>
  <c r="J16" i="57"/>
  <c r="K15" i="57"/>
  <c r="J15" i="57"/>
  <c r="K14" i="57"/>
  <c r="J14" i="57"/>
  <c r="K13" i="57"/>
  <c r="J13" i="57"/>
  <c r="K12" i="57"/>
  <c r="J12" i="57"/>
  <c r="K11" i="57"/>
  <c r="J11" i="57"/>
  <c r="K10" i="57"/>
  <c r="J10" i="57"/>
  <c r="K9" i="57"/>
  <c r="J9" i="57"/>
  <c r="K8" i="57"/>
  <c r="K7" i="57"/>
  <c r="J7" i="57"/>
  <c r="K108" i="55"/>
  <c r="K127" i="55"/>
  <c r="K126" i="55"/>
  <c r="K125" i="55"/>
  <c r="K122" i="55"/>
  <c r="K121" i="55"/>
  <c r="K120" i="55"/>
  <c r="K119" i="55"/>
  <c r="K116" i="55"/>
  <c r="K115" i="55"/>
  <c r="K114" i="55"/>
  <c r="K113" i="55"/>
  <c r="K112" i="55"/>
  <c r="K109" i="55"/>
  <c r="K107" i="55"/>
  <c r="K106" i="55"/>
  <c r="K105" i="55"/>
  <c r="K104" i="55"/>
  <c r="K131" i="55"/>
  <c r="K130" i="55"/>
  <c r="L100" i="55"/>
  <c r="K100" i="55"/>
  <c r="L99" i="55"/>
  <c r="K99" i="55"/>
  <c r="L98" i="55"/>
  <c r="K98" i="55"/>
  <c r="L97" i="55"/>
  <c r="K97" i="55"/>
  <c r="L96" i="55"/>
  <c r="K96" i="55"/>
  <c r="L95" i="55"/>
  <c r="K95" i="55"/>
  <c r="L94" i="55"/>
  <c r="K94" i="55"/>
  <c r="L93" i="55"/>
  <c r="K93" i="55"/>
  <c r="L92" i="55"/>
  <c r="K92" i="55"/>
  <c r="L91" i="55"/>
  <c r="K91" i="55"/>
  <c r="L90" i="55"/>
  <c r="K90" i="55"/>
  <c r="L87" i="55"/>
  <c r="K87" i="55"/>
  <c r="L86" i="55"/>
  <c r="K86" i="55"/>
  <c r="L85" i="55"/>
  <c r="K85" i="55"/>
  <c r="L84" i="55"/>
  <c r="K84" i="55"/>
  <c r="L83" i="55"/>
  <c r="K83" i="55"/>
  <c r="L82" i="55"/>
  <c r="K82" i="55"/>
  <c r="L81" i="55"/>
  <c r="K81" i="55"/>
  <c r="L78" i="55"/>
  <c r="K78" i="55"/>
  <c r="L77" i="55"/>
  <c r="K77" i="55"/>
  <c r="L74" i="55"/>
  <c r="K74" i="55"/>
  <c r="L73" i="55"/>
  <c r="K73" i="55"/>
  <c r="L72" i="55"/>
  <c r="K72" i="55"/>
  <c r="L71" i="55"/>
  <c r="K71" i="55"/>
  <c r="L70" i="55"/>
  <c r="K70" i="55"/>
  <c r="L69" i="55"/>
  <c r="K69" i="55"/>
  <c r="L68" i="55"/>
  <c r="K68" i="55"/>
  <c r="L67" i="55"/>
  <c r="K67" i="55"/>
  <c r="L64" i="55"/>
  <c r="K64" i="55"/>
  <c r="L63" i="55"/>
  <c r="K63" i="55"/>
  <c r="L62" i="55"/>
  <c r="K62" i="55"/>
  <c r="L61" i="55"/>
  <c r="K61" i="55"/>
  <c r="L60" i="55"/>
  <c r="K60" i="55"/>
  <c r="L59" i="55"/>
  <c r="K59" i="55"/>
  <c r="L58" i="55"/>
  <c r="K58" i="55"/>
  <c r="L57" i="55"/>
  <c r="K57" i="55"/>
  <c r="L56" i="55"/>
  <c r="K56" i="55"/>
  <c r="L55" i="55"/>
  <c r="K55" i="55"/>
  <c r="L52" i="55"/>
  <c r="K52" i="55"/>
  <c r="L51" i="55"/>
  <c r="K51" i="55"/>
  <c r="L50" i="55"/>
  <c r="K50" i="55"/>
  <c r="L49" i="55"/>
  <c r="K49" i="55"/>
  <c r="L48" i="55"/>
  <c r="K48" i="55"/>
  <c r="L47" i="55"/>
  <c r="K47" i="55"/>
  <c r="L46" i="55"/>
  <c r="K46" i="55"/>
  <c r="L43" i="55"/>
  <c r="K43" i="55"/>
  <c r="L42" i="55"/>
  <c r="K42" i="55"/>
  <c r="L41" i="55"/>
  <c r="K41" i="55"/>
  <c r="L40" i="55"/>
  <c r="K40" i="55"/>
  <c r="L39" i="55"/>
  <c r="K39" i="55"/>
  <c r="L38" i="55"/>
  <c r="K38" i="55"/>
  <c r="L35" i="55"/>
  <c r="K35" i="55"/>
  <c r="L34" i="55"/>
  <c r="K34" i="55"/>
  <c r="L33" i="55"/>
  <c r="K33" i="55"/>
  <c r="L32" i="55"/>
  <c r="K32" i="55"/>
  <c r="L29" i="55"/>
  <c r="K29" i="55"/>
  <c r="L28" i="55"/>
  <c r="K28" i="55"/>
  <c r="L27" i="55"/>
  <c r="K27" i="55"/>
  <c r="L26" i="55"/>
  <c r="K26" i="55"/>
  <c r="L23" i="55"/>
  <c r="K23" i="55"/>
  <c r="L22" i="55"/>
  <c r="K22" i="55"/>
  <c r="L21" i="55"/>
  <c r="K21" i="55"/>
  <c r="L20" i="55"/>
  <c r="K20" i="55"/>
  <c r="L19" i="55"/>
  <c r="K19" i="55"/>
  <c r="L18" i="55"/>
  <c r="K18" i="55"/>
  <c r="L17" i="55"/>
  <c r="K17" i="55"/>
  <c r="L16" i="55"/>
  <c r="K16" i="55"/>
  <c r="L15" i="55"/>
  <c r="K15" i="55"/>
  <c r="L14" i="55"/>
  <c r="K14" i="55"/>
  <c r="L13" i="55"/>
  <c r="K13" i="55"/>
  <c r="L12" i="55"/>
  <c r="K12" i="55"/>
  <c r="L11" i="55"/>
  <c r="K11" i="55"/>
  <c r="L10" i="55"/>
  <c r="K10" i="55"/>
  <c r="L9" i="55"/>
  <c r="K9" i="55"/>
  <c r="L6" i="55"/>
  <c r="K6" i="55"/>
  <c r="L5" i="55"/>
  <c r="K5" i="55"/>
  <c r="L4" i="55"/>
  <c r="K4" i="55"/>
  <c r="K3" i="55"/>
  <c r="L3" i="55"/>
  <c r="L80" i="55"/>
  <c r="L79" i="55"/>
  <c r="C15" i="56"/>
  <c r="C14" i="56"/>
  <c r="E12" i="56"/>
  <c r="G12" i="56" s="1"/>
  <c r="E11" i="56"/>
  <c r="G11" i="56" s="1"/>
  <c r="E9" i="56"/>
  <c r="G9" i="56" s="1"/>
  <c r="E8" i="56"/>
  <c r="G8" i="56" s="1"/>
  <c r="E7" i="56"/>
  <c r="G7" i="56" s="1"/>
  <c r="E6" i="56"/>
  <c r="G6" i="56" s="1"/>
  <c r="E5" i="56"/>
  <c r="G5" i="56" s="1"/>
  <c r="E4" i="56"/>
  <c r="G4" i="56" s="1"/>
  <c r="E3" i="56"/>
  <c r="E10" i="56"/>
  <c r="G10" i="56" s="1"/>
  <c r="B10" i="56"/>
  <c r="B4" i="56"/>
  <c r="B5" i="56" s="1"/>
  <c r="B6" i="56" s="1"/>
  <c r="B7" i="56" s="1"/>
  <c r="B8" i="56" s="1"/>
  <c r="B9" i="56" s="1"/>
  <c r="B11" i="56" s="1"/>
  <c r="B12" i="56" s="1"/>
  <c r="I111" i="57" l="1"/>
  <c r="G3" i="56"/>
  <c r="E14" i="56"/>
  <c r="E15" i="56" s="1"/>
  <c r="F24" i="54"/>
  <c r="E24" i="54"/>
  <c r="F23" i="54"/>
  <c r="E23" i="54"/>
  <c r="F22" i="54"/>
  <c r="E22" i="54"/>
  <c r="F21" i="54"/>
  <c r="E21" i="54"/>
  <c r="F20" i="54"/>
  <c r="E20" i="54"/>
  <c r="F19" i="54"/>
  <c r="E19" i="54"/>
  <c r="F18" i="54"/>
  <c r="E18" i="54"/>
  <c r="F17" i="54"/>
  <c r="E17" i="54"/>
  <c r="F12" i="54"/>
  <c r="E12" i="54"/>
  <c r="F11" i="54"/>
  <c r="E11" i="54"/>
  <c r="F10" i="54"/>
  <c r="E10" i="54"/>
  <c r="F9" i="54"/>
  <c r="E9" i="54"/>
  <c r="F8" i="54"/>
  <c r="E8" i="54"/>
  <c r="F7" i="54"/>
  <c r="E7" i="54"/>
  <c r="F6" i="54"/>
  <c r="E6" i="54"/>
  <c r="E5" i="54"/>
  <c r="D12" i="54"/>
  <c r="D11" i="54"/>
  <c r="D10" i="54"/>
  <c r="D9" i="54"/>
  <c r="D8" i="54"/>
  <c r="D7" i="54"/>
  <c r="D6" i="54"/>
  <c r="F5" i="54"/>
  <c r="D128" i="54"/>
  <c r="D127" i="54"/>
  <c r="D126" i="54"/>
  <c r="D125" i="54"/>
  <c r="D124" i="54"/>
  <c r="D123" i="54"/>
  <c r="D122" i="54"/>
  <c r="D121" i="54"/>
  <c r="D120" i="54"/>
  <c r="D119" i="54"/>
  <c r="D118" i="54"/>
  <c r="D117" i="54"/>
  <c r="D116" i="54"/>
  <c r="D115" i="54"/>
  <c r="D114" i="54"/>
  <c r="D113" i="54"/>
  <c r="D112" i="54"/>
  <c r="D111" i="54"/>
  <c r="D110" i="54"/>
  <c r="D109" i="54"/>
  <c r="D108" i="54"/>
  <c r="D107" i="54"/>
  <c r="D106" i="54"/>
  <c r="D105" i="54"/>
  <c r="D104" i="54"/>
  <c r="D103" i="54"/>
  <c r="D102" i="54"/>
  <c r="D101" i="54"/>
  <c r="D100" i="54"/>
  <c r="D99" i="54"/>
  <c r="D98" i="54"/>
  <c r="D97" i="54"/>
  <c r="D96" i="54"/>
  <c r="D95" i="54"/>
  <c r="D94" i="54"/>
  <c r="D93" i="54"/>
  <c r="D92" i="54"/>
  <c r="D91" i="54"/>
  <c r="D90" i="54"/>
  <c r="D89" i="54"/>
  <c r="D88" i="54"/>
  <c r="D87" i="54"/>
  <c r="D86" i="54"/>
  <c r="D85" i="54"/>
  <c r="D84" i="54"/>
  <c r="D83" i="54"/>
  <c r="D82" i="54"/>
  <c r="D81" i="54"/>
  <c r="D76" i="54"/>
  <c r="D75" i="54"/>
  <c r="D74" i="54"/>
  <c r="D73" i="54"/>
  <c r="D72" i="54"/>
  <c r="D71" i="54"/>
  <c r="D70" i="54"/>
  <c r="D69" i="54"/>
  <c r="D68" i="54"/>
  <c r="D67" i="54"/>
  <c r="D66" i="54"/>
  <c r="D65" i="54"/>
  <c r="D60" i="54"/>
  <c r="D59" i="54"/>
  <c r="D58" i="54"/>
  <c r="D57" i="54"/>
  <c r="D56" i="54"/>
  <c r="D55" i="54"/>
  <c r="D54" i="54"/>
  <c r="D53" i="54"/>
  <c r="D52" i="54"/>
  <c r="D51" i="54"/>
  <c r="D50" i="54"/>
  <c r="D49" i="54"/>
  <c r="D48" i="54"/>
  <c r="D47" i="54"/>
  <c r="D46" i="54"/>
  <c r="D45" i="54"/>
  <c r="D44" i="54"/>
  <c r="D43" i="54"/>
  <c r="D42" i="54"/>
  <c r="D41" i="54"/>
  <c r="D40" i="54"/>
  <c r="D39" i="54"/>
  <c r="D38" i="54"/>
  <c r="D37" i="54"/>
  <c r="D36" i="54"/>
  <c r="D35" i="54"/>
  <c r="D34" i="54"/>
  <c r="D33" i="54"/>
  <c r="D32" i="54"/>
  <c r="D31" i="54"/>
  <c r="D30" i="54"/>
  <c r="D24" i="54"/>
  <c r="D23" i="54"/>
  <c r="D22" i="54"/>
  <c r="D21" i="54"/>
  <c r="D20" i="54"/>
  <c r="D19" i="54"/>
  <c r="D18" i="54"/>
  <c r="D17" i="54"/>
  <c r="D5" i="54"/>
  <c r="D29" i="54"/>
  <c r="B18" i="53"/>
  <c r="B19" i="53" s="1"/>
  <c r="B22" i="53" s="1"/>
  <c r="B23" i="53" s="1"/>
  <c r="B24" i="53" s="1"/>
  <c r="B10" i="53"/>
  <c r="B9" i="53"/>
  <c r="B11" i="53" s="1"/>
  <c r="B13" i="53" s="1"/>
  <c r="B17" i="51"/>
  <c r="B18" i="51" s="1"/>
  <c r="B21" i="51" s="1"/>
  <c r="B22" i="51" s="1"/>
  <c r="B23" i="51" s="1"/>
  <c r="B10" i="51"/>
  <c r="B12" i="51" s="1"/>
  <c r="E11" i="52"/>
  <c r="E10" i="52"/>
  <c r="F7" i="52"/>
  <c r="F6" i="52"/>
  <c r="F5" i="52"/>
  <c r="B7" i="52"/>
  <c r="C7" i="52" s="1"/>
  <c r="B6" i="52"/>
  <c r="C6" i="52" s="1"/>
  <c r="B5" i="52"/>
  <c r="C5" i="52" s="1"/>
  <c r="C66" i="51"/>
  <c r="B61" i="51"/>
  <c r="B64" i="51"/>
  <c r="B35" i="51"/>
  <c r="B34" i="51"/>
  <c r="C43" i="51"/>
  <c r="B43" i="51"/>
  <c r="B44" i="51" s="1"/>
  <c r="B26" i="53" l="1"/>
  <c r="B25" i="51"/>
  <c r="G5" i="52"/>
  <c r="G7" i="52"/>
  <c r="G6" i="52"/>
  <c r="G8" i="52"/>
  <c r="H7" i="52"/>
  <c r="B66" i="51"/>
  <c r="B36" i="51"/>
  <c r="B38" i="51" s="1"/>
  <c r="C44" i="51"/>
  <c r="C47" i="51" s="1"/>
  <c r="C48" i="51" s="1"/>
  <c r="B47" i="51"/>
  <c r="B48" i="51" s="1"/>
  <c r="D49" i="51" l="1"/>
  <c r="B51" i="51" s="1"/>
</calcChain>
</file>

<file path=xl/sharedStrings.xml><?xml version="1.0" encoding="utf-8"?>
<sst xmlns="http://schemas.openxmlformats.org/spreadsheetml/2006/main" count="650" uniqueCount="428">
  <si>
    <t>This spreadsheet houses many of the tables used in the return to life systems analysis.</t>
  </si>
  <si>
    <t>Select the appropriate tabs.</t>
  </si>
  <si>
    <t>By Walter Sobkiw</t>
  </si>
  <si>
    <t>This research is not associated with any institution.</t>
  </si>
  <si>
    <t>It is ongoing and part of a broader set of COVID-19 systems oriented research areas.</t>
  </si>
  <si>
    <t>www.cassbeth.com/covid-19</t>
  </si>
  <si>
    <t xml:space="preserve">4/22/2020 origination </t>
  </si>
  <si>
    <t>length ft</t>
  </si>
  <si>
    <t>width ft</t>
  </si>
  <si>
    <t>height ft</t>
  </si>
  <si>
    <t>vent width inches</t>
  </si>
  <si>
    <t>vent length inches</t>
  </si>
  <si>
    <t>number of vents</t>
  </si>
  <si>
    <t>measured air ft per min</t>
  </si>
  <si>
    <t>cubic feet</t>
  </si>
  <si>
    <t>vent type A</t>
  </si>
  <si>
    <t>vent type B</t>
  </si>
  <si>
    <t>cubic feet per min CFM</t>
  </si>
  <si>
    <t>cubic feet per hour CFH</t>
  </si>
  <si>
    <t>total CFH</t>
  </si>
  <si>
    <t>vent sq inches</t>
  </si>
  <si>
    <t>vent sq feet</t>
  </si>
  <si>
    <t>sq feet</t>
  </si>
  <si>
    <t>16 windows</t>
  </si>
  <si>
    <t>10 windows</t>
  </si>
  <si>
    <t>estimated</t>
  </si>
  <si>
    <t>Clean Air Buildings</t>
  </si>
  <si>
    <t>Copyright 2022. This spreadsheet may be freely distributed and referenced as long as the author is clearly identified. When using this paper for critical review or significant meetings the author requests that he be contacted and made aware of the events. Any publication works that will collect money from part or all of this content must contact the author.</t>
  </si>
  <si>
    <t>ACH calculations for a Generic space where the following data is provided</t>
  </si>
  <si>
    <t>building(s) square feet</t>
  </si>
  <si>
    <t>Cubic feet per min (CFM)</t>
  </si>
  <si>
    <t>Assumed average ceiling height</t>
  </si>
  <si>
    <t>AHUs push nearly 11 million cubic feet of air each minute</t>
  </si>
  <si>
    <t>Comments</t>
  </si>
  <si>
    <t>Total facility with all buildings</t>
  </si>
  <si>
    <t>Cubic feet per hour (CFH)</t>
  </si>
  <si>
    <t>building(s) cubic feet</t>
  </si>
  <si>
    <t>ACH (total CFH/cubic feet)</t>
  </si>
  <si>
    <t>ACH (CFH/buildings cubic feet)</t>
  </si>
  <si>
    <t>https://rzero.com/vive/?utm_source=JSJD-Google&amp;utm_medium=cpc&amp;utm_campaign=rZero-Search&amp;utm_content=Vive&amp;CID=JSJDGoogleCPC</t>
  </si>
  <si>
    <t>FAR UV</t>
  </si>
  <si>
    <t>meters</t>
  </si>
  <si>
    <t>feet</t>
  </si>
  <si>
    <t>time sec</t>
  </si>
  <si>
    <t>time min</t>
  </si>
  <si>
    <t>eACH</t>
  </si>
  <si>
    <t>% room height</t>
  </si>
  <si>
    <t>ceiling</t>
  </si>
  <si>
    <t>eACH slice</t>
  </si>
  <si>
    <t>eACH avg floor level</t>
  </si>
  <si>
    <t>eACH avg 3 foot from floor level</t>
  </si>
  <si>
    <t>ACH calculations for a Generic space different vent types</t>
  </si>
  <si>
    <t>ACH calculations for a Generic space one vent type</t>
  </si>
  <si>
    <t>Copy and paste appropriate tab data for each room in the facility</t>
  </si>
  <si>
    <t>Room Name</t>
  </si>
  <si>
    <t>Ball Room</t>
  </si>
  <si>
    <t>Facility Name</t>
  </si>
  <si>
    <t>10 windows X 3 ft</t>
  </si>
  <si>
    <t>16 windows X 4 ft</t>
  </si>
  <si>
    <t>Clubhouse</t>
  </si>
  <si>
    <t>Room Size</t>
  </si>
  <si>
    <t>Vents</t>
  </si>
  <si>
    <t>Results</t>
  </si>
  <si>
    <t>CFM</t>
  </si>
  <si>
    <t>Data</t>
  </si>
  <si>
    <t>Site Survey Element</t>
  </si>
  <si>
    <t>Airport</t>
  </si>
  <si>
    <t>NA</t>
  </si>
  <si>
    <t>Restaurant</t>
  </si>
  <si>
    <t>4-Way Diffuser Sizes</t>
  </si>
  <si>
    <t>Airflow (cfm)</t>
  </si>
  <si>
    <t>Diffuser Size</t>
  </si>
  <si>
    <t>Neck Size (in)</t>
  </si>
  <si>
    <t>2 ft x 2 ft</t>
  </si>
  <si>
    <t>Linear Diffuser Sizes</t>
  </si>
  <si>
    <t>1-slot, 2 ft</t>
  </si>
  <si>
    <t>2-slot, 2 ft</t>
  </si>
  <si>
    <t>2-slot, 4 ft</t>
  </si>
  <si>
    <t>3-slot, 4 ft</t>
  </si>
  <si>
    <t>4-slot, 4 ft</t>
  </si>
  <si>
    <t>Horizontal Return Air Grilles</t>
  </si>
  <si>
    <t>Grille Area (sq.in)</t>
  </si>
  <si>
    <t>Grille Size (in)</t>
  </si>
  <si>
    <t>4 x 6</t>
  </si>
  <si>
    <t>4 x 12</t>
  </si>
  <si>
    <t>6 x 10</t>
  </si>
  <si>
    <t>6 x 30</t>
  </si>
  <si>
    <t>8 x 16</t>
  </si>
  <si>
    <t>8 x 18</t>
  </si>
  <si>
    <t>8 x 24</t>
  </si>
  <si>
    <t>8 x 30</t>
  </si>
  <si>
    <t>8 x 32</t>
  </si>
  <si>
    <t>10 x 20</t>
  </si>
  <si>
    <t>10 x 22</t>
  </si>
  <si>
    <t>10 x 24</t>
  </si>
  <si>
    <t>10 x 30</t>
  </si>
  <si>
    <t>12 x 18</t>
  </si>
  <si>
    <t>12 x 20</t>
  </si>
  <si>
    <t>12 x 24</t>
  </si>
  <si>
    <t>12 x 30</t>
  </si>
  <si>
    <t>14 x 17</t>
  </si>
  <si>
    <t>14 x 20</t>
  </si>
  <si>
    <t>14 x 25</t>
  </si>
  <si>
    <t>14 x 26</t>
  </si>
  <si>
    <t>16 x 18</t>
  </si>
  <si>
    <t>16 x 20</t>
  </si>
  <si>
    <t>16 x 25</t>
  </si>
  <si>
    <t>16 x 26</t>
  </si>
  <si>
    <t>18 x 24</t>
  </si>
  <si>
    <t>18 x 26</t>
  </si>
  <si>
    <t>18 x 30</t>
  </si>
  <si>
    <t>18 x 32</t>
  </si>
  <si>
    <t>20 x 24</t>
  </si>
  <si>
    <t>20 x 25</t>
  </si>
  <si>
    <t>20 x 30</t>
  </si>
  <si>
    <t>Square Return Air Grilles</t>
  </si>
  <si>
    <t>6 x 6</t>
  </si>
  <si>
    <t>8 x 8</t>
  </si>
  <si>
    <t>10 x 10</t>
  </si>
  <si>
    <t>12 x 12</t>
  </si>
  <si>
    <t>14 x 14</t>
  </si>
  <si>
    <t>16 x 16</t>
  </si>
  <si>
    <t>18 x 18</t>
  </si>
  <si>
    <t>20 x 20</t>
  </si>
  <si>
    <t>22 x 22</t>
  </si>
  <si>
    <t>24 x 24</t>
  </si>
  <si>
    <t>26 x 26</t>
  </si>
  <si>
    <t>30 x 30</t>
  </si>
  <si>
    <t>Verticle Return Air Grilles</t>
  </si>
  <si>
    <t>12 x 4</t>
  </si>
  <si>
    <t>12 x 6</t>
  </si>
  <si>
    <t>12 x 10</t>
  </si>
  <si>
    <t>14 x 6</t>
  </si>
  <si>
    <t>14 x 8</t>
  </si>
  <si>
    <t>14 x 10</t>
  </si>
  <si>
    <t>16 x 6</t>
  </si>
  <si>
    <t>16 x 8</t>
  </si>
  <si>
    <t>16 x 12</t>
  </si>
  <si>
    <t>18 x 10</t>
  </si>
  <si>
    <t>18 x 12</t>
  </si>
  <si>
    <t>18 x 14</t>
  </si>
  <si>
    <t>20 x 8</t>
  </si>
  <si>
    <t>20 x 10</t>
  </si>
  <si>
    <t>20 x 12</t>
  </si>
  <si>
    <t>20 x 14</t>
  </si>
  <si>
    <t>20 x 16</t>
  </si>
  <si>
    <t>20 x 18</t>
  </si>
  <si>
    <t>22 x 8</t>
  </si>
  <si>
    <t>22 x 10</t>
  </si>
  <si>
    <t>24 x 4</t>
  </si>
  <si>
    <t>24 x 6</t>
  </si>
  <si>
    <t>24 x 8</t>
  </si>
  <si>
    <t>24 x 12</t>
  </si>
  <si>
    <t>24 x 14</t>
  </si>
  <si>
    <t>24 x 16</t>
  </si>
  <si>
    <t>24 x 18</t>
  </si>
  <si>
    <t>26 x 14</t>
  </si>
  <si>
    <t>26 x 16</t>
  </si>
  <si>
    <t>26 x 18</t>
  </si>
  <si>
    <t>28 x 8</t>
  </si>
  <si>
    <t>28 x 23</t>
  </si>
  <si>
    <t>30 x 6</t>
  </si>
  <si>
    <t>30 x 8</t>
  </si>
  <si>
    <t>30 x 10</t>
  </si>
  <si>
    <t>30 x 12</t>
  </si>
  <si>
    <t>30 x 14</t>
  </si>
  <si>
    <t>30 x 16</t>
  </si>
  <si>
    <t>32 x 4</t>
  </si>
  <si>
    <t>32 x 8</t>
  </si>
  <si>
    <t>32 x 12</t>
  </si>
  <si>
    <t>32 x 20</t>
  </si>
  <si>
    <t>34 x 8</t>
  </si>
  <si>
    <t>36 x 10</t>
  </si>
  <si>
    <t>36 x 12</t>
  </si>
  <si>
    <t>36 x 14</t>
  </si>
  <si>
    <t>38 x 16</t>
  </si>
  <si>
    <t>40 x 20</t>
  </si>
  <si>
    <t>FPM</t>
  </si>
  <si>
    <t>Linear FPM</t>
  </si>
  <si>
    <t>A=πr^2</t>
  </si>
  <si>
    <t>area ft</t>
  </si>
  <si>
    <t>https://aircondlounge.com/hvac-diffuser-sizing-guide-cfm-chart-selection/</t>
  </si>
  <si>
    <t xml:space="preserve">HVAC diffusers should be based on an airflow of around 250 CFM and a noise level of below NC30. 2 ft length by 2 ft width and 8 inches inlet diameter is the most common size for a 4-way ceiling diffuser. </t>
  </si>
  <si>
    <t>50mm/slot or 1.95 inches/slot</t>
  </si>
  <si>
    <t>https://aircondlounge.com/return-air-grille-sizing-guide-cfm-chart-calculation</t>
  </si>
  <si>
    <t>area in</t>
  </si>
  <si>
    <t>Correctional Facilities</t>
  </si>
  <si>
    <t>Cell</t>
  </si>
  <si>
    <t>Dayroom</t>
  </si>
  <si>
    <t>Guard stations</t>
  </si>
  <si>
    <t>Booking/waiting</t>
  </si>
  <si>
    <t>Educational Facilities</t>
  </si>
  <si>
    <t>Daycare (through age 4)</t>
  </si>
  <si>
    <t>Daycare sickroom</t>
  </si>
  <si>
    <t>Classrooms (ages 5–8)</t>
  </si>
  <si>
    <t>Classrooms (age 9 plus)</t>
  </si>
  <si>
    <t>Lecture classroom</t>
  </si>
  <si>
    <t>Lecture hall (fixed seats)</t>
  </si>
  <si>
    <t>Art classroom</t>
  </si>
  <si>
    <t>Science laboratories</t>
  </si>
  <si>
    <t>University/college laboratories</t>
  </si>
  <si>
    <t>Wood/metal shop</t>
  </si>
  <si>
    <t>Computer lab</t>
  </si>
  <si>
    <t>Media center</t>
  </si>
  <si>
    <t>0.6 A</t>
  </si>
  <si>
    <t>Music/theater/dance</t>
  </si>
  <si>
    <t>Multi-use assembly</t>
  </si>
  <si>
    <t>Food and Beverage Service</t>
  </si>
  <si>
    <t>Restaurant dining rooms</t>
  </si>
  <si>
    <t>Cafeteria/fast-food dining</t>
  </si>
  <si>
    <t>Bars, cocktail lounges</t>
  </si>
  <si>
    <t>Kitchen (cooking)</t>
  </si>
  <si>
    <t>General</t>
  </si>
  <si>
    <t>Break rooms</t>
  </si>
  <si>
    <t>Coffee stations</t>
  </si>
  <si>
    <t>Conference/meeting</t>
  </si>
  <si>
    <t>Corridors</t>
  </si>
  <si>
    <t>–</t>
  </si>
  <si>
    <t>Occupiable storage rooms for liquids or gels</t>
  </si>
  <si>
    <t>0.6 B</t>
  </si>
  <si>
    <t>Bedroom/living room</t>
  </si>
  <si>
    <t>Barracks sleeping areas</t>
  </si>
  <si>
    <t>Laundry rooms, central</t>
  </si>
  <si>
    <t>Laundry rooms within dwelling units</t>
  </si>
  <si>
    <t>Lobbies/prefunction</t>
  </si>
  <si>
    <t>Multipurpose assembly</t>
  </si>
  <si>
    <t>Office Buildings</t>
  </si>
  <si>
    <t>Breakrooms</t>
  </si>
  <si>
    <t>Main entry lobbies</t>
  </si>
  <si>
    <t>Occupiable storage rooms for dry materials</t>
  </si>
  <si>
    <t>Office space</t>
  </si>
  <si>
    <t>Reception areas</t>
  </si>
  <si>
    <t>Telephone/data entry</t>
  </si>
  <si>
    <t>Miscellaneous Spaces</t>
  </si>
  <si>
    <t>Bank vaults/safe deposit</t>
  </si>
  <si>
    <t>Banks or bank lobbies</t>
  </si>
  <si>
    <t>Computer (not printing)</t>
  </si>
  <si>
    <t>General manufacturing (excludes heavy industrial and processes using chemicals)</t>
  </si>
  <si>
    <t>Pharmacy (prep. area)</t>
  </si>
  <si>
    <t>Photo studios</t>
  </si>
  <si>
    <t>Shipping/receiving</t>
  </si>
  <si>
    <t>Sorting, packing, light assembly</t>
  </si>
  <si>
    <t>Telephone closets</t>
  </si>
  <si>
    <t>Transportation waiting</t>
  </si>
  <si>
    <t>Warehouses</t>
  </si>
  <si>
    <t>Public Assembly Spaces</t>
  </si>
  <si>
    <t>Auditorium seating area</t>
  </si>
  <si>
    <t>Places of religious worship</t>
  </si>
  <si>
    <t>Courtrooms</t>
  </si>
  <si>
    <t>Legislative chambers</t>
  </si>
  <si>
    <t>Libraries</t>
  </si>
  <si>
    <t>Lobbies</t>
  </si>
  <si>
    <t>Museums (children’s)</t>
  </si>
  <si>
    <t>Museums/galleries</t>
  </si>
  <si>
    <t>Residential</t>
  </si>
  <si>
    <t>Dwelling unit</t>
  </si>
  <si>
    <t>F,G</t>
  </si>
  <si>
    <t>F</t>
  </si>
  <si>
    <t>Common corridors</t>
  </si>
  <si>
    <t>Sales (except as below)</t>
  </si>
  <si>
    <t>Mall common areas</t>
  </si>
  <si>
    <t>Barbershop</t>
  </si>
  <si>
    <t>Retail</t>
  </si>
  <si>
    <t>Beauty and nail salons</t>
  </si>
  <si>
    <t>Pet shops (animal areas)</t>
  </si>
  <si>
    <t>Supermarket</t>
  </si>
  <si>
    <t>Coin-operated laundries</t>
  </si>
  <si>
    <t>Sports and Entertainment</t>
  </si>
  <si>
    <t>Sports arena (play area)</t>
  </si>
  <si>
    <t>Gym, stadium (play area)</t>
  </si>
  <si>
    <t>Spectator areas</t>
  </si>
  <si>
    <t>Swimming (pool &amp; deck)</t>
  </si>
  <si>
    <t>Disco/dance floors</t>
  </si>
  <si>
    <t>Health club/aerobics room</t>
  </si>
  <si>
    <t>Health club/weight rooms</t>
  </si>
  <si>
    <t>Bowling alley (seating)</t>
  </si>
  <si>
    <t>Gambling casinos</t>
  </si>
  <si>
    <t>Game arcades</t>
  </si>
  <si>
    <t>Stages, studios</t>
  </si>
  <si>
    <t>cfm/person</t>
  </si>
  <si>
    <t>L/s·person</t>
  </si>
  <si>
    <t>Air Class</t>
  </si>
  <si>
    <t>L/s·m 2</t>
  </si>
  <si>
    <t>cfm/ft2</t>
  </si>
  <si>
    <t>Hotels, Motels, Resorts, Dormitories</t>
  </si>
  <si>
    <t>#/1000 ft2 or #/100 m2</t>
  </si>
  <si>
    <t>Medical procedure</t>
  </si>
  <si>
    <t>Operating rooms</t>
  </si>
  <si>
    <t>Recovery and ICU</t>
  </si>
  <si>
    <t>Patient rooms</t>
  </si>
  <si>
    <t>Hospitals, Nursing and Convalescent Homes</t>
  </si>
  <si>
    <t>Autopsy rooms</t>
  </si>
  <si>
    <t>Physical therapy</t>
  </si>
  <si>
    <t>Occupancy #/1000 ft2 or #/100 m2</t>
  </si>
  <si>
    <t>L/s*m2</t>
  </si>
  <si>
    <t>ASHRAE-62_1-2010.pdf</t>
  </si>
  <si>
    <t>ASHRAE-62_1-2001.pdf</t>
  </si>
  <si>
    <t>Commercial laundry</t>
  </si>
  <si>
    <t>Commercial dry cleaner</t>
  </si>
  <si>
    <t>Storage, pick up</t>
  </si>
  <si>
    <t>Coin-operated dry cleaner</t>
  </si>
  <si>
    <t>Dining rooms</t>
  </si>
  <si>
    <t>Cafeteria, fast food</t>
  </si>
  <si>
    <t>Dry Cleaners, Laundries</t>
  </si>
  <si>
    <t xml:space="preserve">Supplementary smoke-removal equipment </t>
  </si>
  <si>
    <t>Kitchens (cooking)</t>
  </si>
  <si>
    <t xml:space="preserve">Makeup air for hood exhaust may require </t>
  </si>
  <si>
    <t>Cells 20 20 10</t>
  </si>
  <si>
    <t>Dining halls 100 15 8</t>
  </si>
  <si>
    <t>Guard stations 40 15 8</t>
  </si>
  <si>
    <t>Garages, Repair, Service Stations</t>
  </si>
  <si>
    <t>Outdoor ACH</t>
  </si>
  <si>
    <t>Combined ACH</t>
  </si>
  <si>
    <t>these numbers do not reconcile</t>
  </si>
  <si>
    <t>Meters</t>
  </si>
  <si>
    <t>UV-C</t>
  </si>
  <si>
    <t>Factor</t>
  </si>
  <si>
    <t>Average</t>
  </si>
  <si>
    <t>Room Avg ACH</t>
  </si>
  <si>
    <t>ACH FAR &amp; UV-C</t>
  </si>
  <si>
    <t>Adult level</t>
  </si>
  <si>
    <t>UV-C claimed</t>
  </si>
  <si>
    <t>FAR UV claimed</t>
  </si>
  <si>
    <t>https://rzero.com/beam/</t>
  </si>
  <si>
    <t>99.9% in just 5 minutes</t>
  </si>
  <si>
    <t>https://rzero.com/vive/</t>
  </si>
  <si>
    <t>.5 M 30 sec</t>
  </si>
  <si>
    <t xml:space="preserve">1.5 M 4.5 min </t>
  </si>
  <si>
    <t>2.5 M 12.4 min</t>
  </si>
  <si>
    <t>12+ eACH</t>
  </si>
  <si>
    <t>Assumed Height</t>
  </si>
  <si>
    <t>ACH</t>
  </si>
  <si>
    <t xml:space="preserve">Occupancy Category </t>
  </si>
  <si>
    <t>STD 170</t>
  </si>
  <si>
    <t xml:space="preserve">ACH </t>
  </si>
  <si>
    <t>STD 26.1</t>
  </si>
  <si>
    <t xml:space="preserve">CFM/person </t>
  </si>
  <si>
    <t>STD 241P</t>
  </si>
  <si>
    <t>Occupant</t>
  </si>
  <si>
    <t>Density</t>
  </si>
  <si>
    <t>#/1000 sqft</t>
  </si>
  <si>
    <t>STD 62.1)</t>
  </si>
  <si>
    <t>Assumed</t>
  </si>
  <si>
    <t>Height</t>
  </si>
  <si>
    <t>Resulting ACH</t>
  </si>
  <si>
    <t>for STD 26.1</t>
  </si>
  <si>
    <t>Office</t>
  </si>
  <si>
    <t>np</t>
  </si>
  <si>
    <t>25-30</t>
  </si>
  <si>
    <t>Food and Beverage Facilities</t>
  </si>
  <si>
    <t>70-100</t>
  </si>
  <si>
    <t>15-40</t>
  </si>
  <si>
    <t>Gym</t>
  </si>
  <si>
    <t>Public Assembly spaces</t>
  </si>
  <si>
    <t>40-150</t>
  </si>
  <si>
    <t>Place of religious worship</t>
  </si>
  <si>
    <t>Healthcare exam room</t>
  </si>
  <si>
    <t>4 to 6</t>
  </si>
  <si>
    <t>no data</t>
  </si>
  <si>
    <t>Healthcare patient room</t>
  </si>
  <si>
    <t>Healthcare resident room</t>
  </si>
  <si>
    <t>Common treatment area</t>
  </si>
  <si>
    <t>Healthcare waiting room</t>
  </si>
  <si>
    <t>Occupancy Category</t>
  </si>
  <si>
    <t>for STD 241P</t>
  </si>
  <si>
    <t>Commercial / Retail</t>
  </si>
  <si>
    <t>Classroom</t>
  </si>
  <si>
    <t>25-35</t>
  </si>
  <si>
    <t>Lecture Hall</t>
  </si>
  <si>
    <t>Industrial</t>
  </si>
  <si>
    <t>Manufacturing</t>
  </si>
  <si>
    <t>Warehouse</t>
  </si>
  <si>
    <t>Health Care</t>
  </si>
  <si>
    <t>Exam Room</t>
  </si>
  <si>
    <t>Group Treatment Area</t>
  </si>
  <si>
    <t>Patient Room</t>
  </si>
  <si>
    <t>Resident Room</t>
  </si>
  <si>
    <t>Waiting Room</t>
  </si>
  <si>
    <t>Public Assembly / Sports and Entertainment</t>
  </si>
  <si>
    <t>Auditorium</t>
  </si>
  <si>
    <t>Place of Religious Worship</t>
  </si>
  <si>
    <t>Museum</t>
  </si>
  <si>
    <t>Convention</t>
  </si>
  <si>
    <t>Spectator Area</t>
  </si>
  <si>
    <t>Common Space</t>
  </si>
  <si>
    <t>Dwelling</t>
  </si>
  <si>
    <t>14-20</t>
  </si>
  <si>
    <t>9.4-11.3</t>
  </si>
  <si>
    <t>4 to 15</t>
  </si>
  <si>
    <t>1.5 - 4</t>
  </si>
  <si>
    <t>(from</t>
  </si>
  <si>
    <t>(from STD 62.1</t>
  </si>
  <si>
    <t>&amp; others)</t>
  </si>
  <si>
    <t>(for ACH</t>
  </si>
  <si>
    <t>Calculation)</t>
  </si>
  <si>
    <t>65-150</t>
  </si>
  <si>
    <t>room</t>
  </si>
  <si>
    <t>Room</t>
  </si>
  <si>
    <t>STD-101</t>
  </si>
  <si>
    <t>Resulting</t>
  </si>
  <si>
    <t>CFM 
1,000 Sq-Ft 
8 ft Ceiling</t>
  </si>
  <si>
    <t>CFM 
1,000 Sq-Ft 
10 ft Ceiling</t>
  </si>
  <si>
    <t>CFM 
1,000 Sq-Ft 
12 ft Ceiling</t>
  </si>
  <si>
    <t>CFM 
10,000 Sq-Ft 
12 ft Ceiling</t>
  </si>
  <si>
    <t>CFM 
10,000 Sq-Ft 
24 ft Ceiling</t>
  </si>
  <si>
    <t>CFM
10,000 Sq-Ft 
40 ft Ceiling</t>
  </si>
  <si>
    <t>Transportation Waiting</t>
  </si>
  <si>
    <t>CFH</t>
  </si>
  <si>
    <t>ACH = CFM/(cu-ft*60)</t>
  </si>
  <si>
    <t>CFM = ACH*1000*8/60</t>
  </si>
  <si>
    <t>ACH = CFM*60/(1000*8)</t>
  </si>
  <si>
    <t>FFPS = CFM/(cu-ft*60)</t>
  </si>
  <si>
    <t>Facial Feet Per Sec 8 ft Ceiling</t>
  </si>
  <si>
    <t>Facial Feet Per Sec 12 ft Ceiling</t>
  </si>
  <si>
    <t>Facial Feet Per Sec 10 ft Ceiling</t>
  </si>
  <si>
    <t>Facial Feet Per Sec 24 ft Ceiling</t>
  </si>
  <si>
    <t>Facial Feet Per Sec 40 ft Ceiling</t>
  </si>
  <si>
    <t>Assumptions:</t>
  </si>
  <si>
    <t>Uniformly distributed</t>
  </si>
  <si>
    <t>Face is 1 cu-ft/head</t>
  </si>
  <si>
    <t>Facial Feet per Hour</t>
  </si>
  <si>
    <t>4 vents * 1 sq-ft vent/1000 sq-ft</t>
  </si>
  <si>
    <t>FPM/Vent 10,000 Sq-Ft 12 ft Ceiling</t>
  </si>
  <si>
    <t>FPM/Vent 10,000 Sq-Ft 40 ft Ceiling</t>
  </si>
  <si>
    <t>FPM/Vent 10,000 Sq-Ft 24 ft Ceiling</t>
  </si>
  <si>
    <t>FPM/Vent 1,000 Sq-Ft 12 ft Ceiling</t>
  </si>
  <si>
    <t>FPM/Vent 1,000 Sq-Ft 10 ft Ceiling</t>
  </si>
  <si>
    <t>FPM/Vent 1,000 Sq-Ft 8 ft Ceiling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</si>
</sst>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9" x14ac:knownFonts="1">
    <font>
      <sz val="11"/>
      <color theme="1"/>
      <name val="Calibri"/>
      <family val="2"/>
      <scheme val="minor"/>
    </font>
    <font>
      <sz val="12"/>
      <color theme="1"/>
      <name val="Times New Roman"/>
      <family val="1"/>
    </font>
    <font>
      <b/>
      <sz val="12"/>
      <color theme="1"/>
      <name val="Times New Roman"/>
      <family val="1"/>
    </font>
    <font>
      <u/>
      <sz val="11"/>
      <color theme="10"/>
      <name val="Calibri"/>
      <family val="2"/>
      <scheme val="minor"/>
    </font>
    <font>
      <u/>
      <sz val="12"/>
      <color theme="10"/>
      <name val="Times New Roman"/>
      <family val="1"/>
    </font>
    <font>
      <b/>
      <sz val="11"/>
      <color theme="1"/>
      <name val="Calibri"/>
      <family val="2"/>
      <scheme val="minor"/>
    </font>
    <font>
      <b/>
      <u/>
      <sz val="11"/>
      <color theme="1"/>
      <name val="Calibri"/>
      <family val="2"/>
      <scheme val="minor"/>
    </font>
    <font>
      <u/>
      <sz val="11"/>
      <color theme="1"/>
      <name val="Calibri"/>
      <family val="2"/>
      <scheme val="minor"/>
    </font>
    <font>
      <i/>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2" fillId="0" borderId="0" xfId="0" applyFont="1" applyAlignment="1">
      <alignment horizontal="center" vertical="center"/>
    </xf>
    <xf numFmtId="0" fontId="1" fillId="0" borderId="0" xfId="0" applyFont="1"/>
    <xf numFmtId="0" fontId="1" fillId="0" borderId="0" xfId="0" applyFont="1" applyAlignment="1">
      <alignment vertical="center"/>
    </xf>
    <xf numFmtId="0" fontId="4" fillId="0" borderId="0" xfId="1" applyFont="1" applyAlignment="1">
      <alignment horizontal="center" vertical="center"/>
    </xf>
    <xf numFmtId="14" fontId="1" fillId="0" borderId="0" xfId="0" applyNumberFormat="1" applyFont="1" applyAlignment="1">
      <alignment horizontal="center" vertical="center"/>
    </xf>
    <xf numFmtId="3" fontId="0" fillId="0" borderId="0" xfId="0" applyNumberFormat="1"/>
    <xf numFmtId="0" fontId="5" fillId="0" borderId="0" xfId="0" applyFont="1"/>
    <xf numFmtId="0" fontId="0" fillId="0" borderId="0" xfId="0" applyAlignment="1">
      <alignment horizontal="right"/>
    </xf>
    <xf numFmtId="2" fontId="0" fillId="0" borderId="0" xfId="0" applyNumberFormat="1"/>
    <xf numFmtId="0" fontId="0" fillId="0" borderId="1" xfId="0" applyBorder="1"/>
    <xf numFmtId="2" fontId="0" fillId="0" borderId="1" xfId="0" applyNumberFormat="1" applyBorder="1"/>
    <xf numFmtId="3" fontId="5" fillId="0" borderId="0" xfId="0" applyNumberFormat="1" applyFont="1"/>
    <xf numFmtId="2" fontId="5" fillId="0" borderId="0" xfId="0" applyNumberFormat="1" applyFont="1"/>
    <xf numFmtId="0" fontId="5" fillId="0" borderId="0" xfId="0" applyFont="1" applyAlignment="1">
      <alignment wrapText="1"/>
    </xf>
    <xf numFmtId="0" fontId="5" fillId="0" borderId="0" xfId="0" applyFont="1" applyAlignment="1">
      <alignment horizontal="right"/>
    </xf>
    <xf numFmtId="0" fontId="6" fillId="0" borderId="0" xfId="0" applyFont="1"/>
    <xf numFmtId="0" fontId="6" fillId="0" borderId="0" xfId="0" applyFont="1" applyAlignment="1">
      <alignment horizontal="center"/>
    </xf>
    <xf numFmtId="0" fontId="5" fillId="0" borderId="1" xfId="0" applyFont="1" applyBorder="1"/>
    <xf numFmtId="3" fontId="0" fillId="0" borderId="1" xfId="0" applyNumberFormat="1" applyBorder="1"/>
    <xf numFmtId="3" fontId="5" fillId="0" borderId="1" xfId="0" applyNumberFormat="1" applyFont="1" applyBorder="1"/>
    <xf numFmtId="0" fontId="0" fillId="0" borderId="0" xfId="0" applyAlignment="1">
      <alignment wrapText="1"/>
    </xf>
    <xf numFmtId="1" fontId="0" fillId="0" borderId="0" xfId="0" applyNumberFormat="1"/>
    <xf numFmtId="0" fontId="7" fillId="0" borderId="0" xfId="0" applyFont="1"/>
    <xf numFmtId="0" fontId="6" fillId="0" borderId="0" xfId="0" applyFont="1" applyAlignment="1">
      <alignment wrapText="1"/>
    </xf>
    <xf numFmtId="10" fontId="0" fillId="0" borderId="0" xfId="0" applyNumberFormat="1"/>
    <xf numFmtId="164" fontId="0" fillId="0" borderId="0" xfId="0" applyNumberFormat="1"/>
    <xf numFmtId="0" fontId="0" fillId="0" borderId="0" xfId="0"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xf>
    <xf numFmtId="0" fontId="0" fillId="0" borderId="0" xfId="0" applyAlignment="1">
      <alignment horizontal="left" vertical="top"/>
    </xf>
    <xf numFmtId="164" fontId="0" fillId="0" borderId="0" xfId="0" applyNumberFormat="1" applyAlignment="1">
      <alignment horizontal="center" vertical="top"/>
    </xf>
    <xf numFmtId="16" fontId="0" fillId="0" borderId="0" xfId="0" applyNumberFormat="1"/>
    <xf numFmtId="0" fontId="5" fillId="0" borderId="0" xfId="0" applyFont="1" applyAlignment="1">
      <alignment horizontal="center"/>
    </xf>
    <xf numFmtId="1" fontId="8" fillId="0" borderId="0" xfId="0" applyNumberFormat="1" applyFont="1"/>
    <xf numFmtId="0" fontId="5" fillId="0" borderId="0" xfId="0" applyFont="1" applyAlignment="1">
      <alignment horizontal="left" vertical="top" wrapText="1"/>
    </xf>
    <xf numFmtId="165" fontId="0" fillId="0" borderId="0" xfId="0" applyNumberFormat="1"/>
  </cellXfs>
  <cellStyles count="2">
    <cellStyle name="Hyperlink" xfId="1" builtinId="8"/>
    <cellStyle name="Normal" xfId="0" builtinId="0"/>
  </cellStyles>
  <dxfs count="0"/>
  <tableStyles count="0" defaultTableStyle="TableStyleMedium2" defaultPivotStyle="PivotStyleLight16"/>
  <colors>
    <mruColors>
      <color rgb="FFFF9797"/>
      <color rgb="FFFF6699"/>
      <color rgb="FFFFD597"/>
      <color rgb="FFFFFF99"/>
      <color rgb="FFFFFF6D"/>
      <color rgb="FFFF6464"/>
      <color rgb="FFD5B8EA"/>
      <color rgb="FFB07BD7"/>
      <color rgb="FFFFB84F"/>
      <color rgb="FFFFE3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301481</xdr:colOff>
      <xdr:row>3</xdr:row>
      <xdr:rowOff>123825</xdr:rowOff>
    </xdr:from>
    <xdr:to>
      <xdr:col>16</xdr:col>
      <xdr:colOff>85130</xdr:colOff>
      <xdr:row>18</xdr:row>
      <xdr:rowOff>66046</xdr:rowOff>
    </xdr:to>
    <xdr:pic>
      <xdr:nvPicPr>
        <xdr:cNvPr id="3" name="Picture 2">
          <a:extLst>
            <a:ext uri="{FF2B5EF4-FFF2-40B4-BE49-F238E27FC236}">
              <a16:creationId xmlns:a16="http://schemas.microsoft.com/office/drawing/2014/main" id="{C2A11BA1-1EEB-4A76-AF0D-DCDBEEA8E08B}"/>
            </a:ext>
          </a:extLst>
        </xdr:cNvPr>
        <xdr:cNvPicPr>
          <a:picLocks noChangeAspect="1"/>
        </xdr:cNvPicPr>
      </xdr:nvPicPr>
      <xdr:blipFill>
        <a:blip xmlns:r="http://schemas.openxmlformats.org/officeDocument/2006/relationships" r:embed="rId1"/>
        <a:stretch>
          <a:fillRect/>
        </a:stretch>
      </xdr:blipFill>
      <xdr:spPr>
        <a:xfrm>
          <a:off x="7007081" y="695325"/>
          <a:ext cx="2831649" cy="29902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ssbeth.com/covid-1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8"/>
  <sheetViews>
    <sheetView topLeftCell="A2" workbookViewId="0">
      <selection activeCell="A6" sqref="A6"/>
    </sheetView>
  </sheetViews>
  <sheetFormatPr defaultRowHeight="15.75" x14ac:dyDescent="0.25"/>
  <cols>
    <col min="1" max="1" width="91.5703125" style="3" customWidth="1"/>
    <col min="2" max="16384" width="9.140625" style="5"/>
  </cols>
  <sheetData>
    <row r="2" spans="1:1" x14ac:dyDescent="0.25">
      <c r="A2" s="4" t="s">
        <v>26</v>
      </c>
    </row>
    <row r="3" spans="1:1" x14ac:dyDescent="0.25">
      <c r="A3" s="2"/>
    </row>
    <row r="4" spans="1:1" x14ac:dyDescent="0.25">
      <c r="A4" s="2" t="s">
        <v>2</v>
      </c>
    </row>
    <row r="5" spans="1:1" x14ac:dyDescent="0.25">
      <c r="A5" s="8">
        <v>44956</v>
      </c>
    </row>
    <row r="7" spans="1:1" x14ac:dyDescent="0.25">
      <c r="A7" s="8" t="s">
        <v>6</v>
      </c>
    </row>
    <row r="8" spans="1:1" x14ac:dyDescent="0.25">
      <c r="A8" s="6"/>
    </row>
    <row r="9" spans="1:1" x14ac:dyDescent="0.25">
      <c r="A9" s="6"/>
    </row>
    <row r="10" spans="1:1" x14ac:dyDescent="0.25">
      <c r="A10" s="2" t="s">
        <v>3</v>
      </c>
    </row>
    <row r="11" spans="1:1" x14ac:dyDescent="0.25">
      <c r="A11" s="2" t="s">
        <v>4</v>
      </c>
    </row>
    <row r="12" spans="1:1" x14ac:dyDescent="0.25">
      <c r="A12" s="7" t="s">
        <v>5</v>
      </c>
    </row>
    <row r="14" spans="1:1" x14ac:dyDescent="0.25">
      <c r="A14" s="3" t="s">
        <v>0</v>
      </c>
    </row>
    <row r="16" spans="1:1" x14ac:dyDescent="0.25">
      <c r="A16" s="3" t="s">
        <v>1</v>
      </c>
    </row>
    <row r="18" spans="1:1" ht="63" x14ac:dyDescent="0.25">
      <c r="A18" s="1" t="s">
        <v>27</v>
      </c>
    </row>
  </sheetData>
  <hyperlinks>
    <hyperlink ref="A12" r:id="rId1" display="http://www.cassbeth.com/covid-19" xr:uid="{7CA8E884-4B9B-4ECC-8776-D3151F6039C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C0CE4-D7EC-4FD3-B994-FB843D097C5B}">
  <dimension ref="A2:E66"/>
  <sheetViews>
    <sheetView workbookViewId="0"/>
  </sheetViews>
  <sheetFormatPr defaultRowHeight="15" x14ac:dyDescent="0.25"/>
  <cols>
    <col min="1" max="1" width="32.7109375" bestFit="1" customWidth="1"/>
    <col min="2" max="3" width="11.140625" bestFit="1" customWidth="1"/>
    <col min="4" max="4" width="11" bestFit="1" customWidth="1"/>
  </cols>
  <sheetData>
    <row r="2" spans="1:5" x14ac:dyDescent="0.25">
      <c r="A2" s="19" t="s">
        <v>52</v>
      </c>
    </row>
    <row r="3" spans="1:5" x14ac:dyDescent="0.25">
      <c r="A3" s="19"/>
    </row>
    <row r="4" spans="1:5" x14ac:dyDescent="0.25">
      <c r="A4" s="10" t="s">
        <v>65</v>
      </c>
      <c r="B4" s="10" t="s">
        <v>64</v>
      </c>
      <c r="C4" s="10" t="s">
        <v>33</v>
      </c>
    </row>
    <row r="5" spans="1:5" x14ac:dyDescent="0.25">
      <c r="A5" t="s">
        <v>56</v>
      </c>
      <c r="B5" t="s">
        <v>68</v>
      </c>
    </row>
    <row r="6" spans="1:5" x14ac:dyDescent="0.25">
      <c r="A6" t="s">
        <v>54</v>
      </c>
      <c r="B6" t="s">
        <v>67</v>
      </c>
    </row>
    <row r="7" spans="1:5" x14ac:dyDescent="0.25">
      <c r="A7" s="20" t="s">
        <v>60</v>
      </c>
      <c r="C7" s="10"/>
      <c r="E7" s="10"/>
    </row>
    <row r="8" spans="1:5" x14ac:dyDescent="0.25">
      <c r="A8" t="s">
        <v>7</v>
      </c>
      <c r="B8" s="10">
        <v>64</v>
      </c>
      <c r="C8" t="s">
        <v>58</v>
      </c>
    </row>
    <row r="9" spans="1:5" x14ac:dyDescent="0.25">
      <c r="A9" t="s">
        <v>8</v>
      </c>
      <c r="B9" s="10">
        <v>30</v>
      </c>
      <c r="C9" t="s">
        <v>57</v>
      </c>
    </row>
    <row r="10" spans="1:5" x14ac:dyDescent="0.25">
      <c r="A10" t="s">
        <v>22</v>
      </c>
      <c r="B10" s="9">
        <f>B8*B9</f>
        <v>1920</v>
      </c>
    </row>
    <row r="11" spans="1:5" x14ac:dyDescent="0.25">
      <c r="A11" s="13" t="s">
        <v>9</v>
      </c>
      <c r="B11" s="21">
        <v>20</v>
      </c>
      <c r="C11" t="s">
        <v>25</v>
      </c>
    </row>
    <row r="12" spans="1:5" x14ac:dyDescent="0.25">
      <c r="A12" s="10" t="s">
        <v>14</v>
      </c>
      <c r="B12" s="9">
        <f>B10*B11</f>
        <v>38400</v>
      </c>
    </row>
    <row r="13" spans="1:5" x14ac:dyDescent="0.25">
      <c r="A13" s="20" t="s">
        <v>61</v>
      </c>
      <c r="C13" s="10"/>
    </row>
    <row r="14" spans="1:5" x14ac:dyDescent="0.25">
      <c r="A14" t="s">
        <v>11</v>
      </c>
      <c r="B14" s="10">
        <v>48</v>
      </c>
      <c r="C14" s="10"/>
    </row>
    <row r="15" spans="1:5" x14ac:dyDescent="0.25">
      <c r="A15" t="s">
        <v>10</v>
      </c>
      <c r="B15" s="10">
        <v>48</v>
      </c>
      <c r="C15" s="10"/>
    </row>
    <row r="16" spans="1:5" x14ac:dyDescent="0.25">
      <c r="A16" t="s">
        <v>12</v>
      </c>
      <c r="B16" s="10">
        <v>2</v>
      </c>
      <c r="C16" s="10"/>
    </row>
    <row r="17" spans="1:5" x14ac:dyDescent="0.25">
      <c r="A17" s="13" t="s">
        <v>20</v>
      </c>
      <c r="B17" s="22">
        <f>B14*B15*B16</f>
        <v>4608</v>
      </c>
    </row>
    <row r="18" spans="1:5" x14ac:dyDescent="0.25">
      <c r="A18" s="10" t="s">
        <v>21</v>
      </c>
      <c r="B18">
        <f>B17/(12*12)</f>
        <v>32</v>
      </c>
    </row>
    <row r="19" spans="1:5" x14ac:dyDescent="0.25">
      <c r="A19" s="20" t="s">
        <v>63</v>
      </c>
    </row>
    <row r="20" spans="1:5" x14ac:dyDescent="0.25">
      <c r="A20" t="s">
        <v>13</v>
      </c>
      <c r="B20" s="10">
        <v>200</v>
      </c>
      <c r="C20" s="10"/>
    </row>
    <row r="21" spans="1:5" x14ac:dyDescent="0.25">
      <c r="A21" t="s">
        <v>17</v>
      </c>
      <c r="B21" s="9">
        <f>B18*B20</f>
        <v>6400</v>
      </c>
    </row>
    <row r="22" spans="1:5" x14ac:dyDescent="0.25">
      <c r="A22" s="13" t="s">
        <v>18</v>
      </c>
      <c r="B22" s="22">
        <f>B21*60</f>
        <v>384000</v>
      </c>
    </row>
    <row r="23" spans="1:5" x14ac:dyDescent="0.25">
      <c r="A23" s="10" t="s">
        <v>19</v>
      </c>
      <c r="B23" s="9">
        <f>B22+C22</f>
        <v>384000</v>
      </c>
    </row>
    <row r="24" spans="1:5" x14ac:dyDescent="0.25">
      <c r="A24" s="20" t="s">
        <v>62</v>
      </c>
    </row>
    <row r="25" spans="1:5" x14ac:dyDescent="0.25">
      <c r="A25" s="10" t="s">
        <v>37</v>
      </c>
      <c r="B25">
        <f>B23/B12</f>
        <v>10</v>
      </c>
    </row>
    <row r="28" spans="1:5" x14ac:dyDescent="0.25">
      <c r="A28" s="19" t="s">
        <v>51</v>
      </c>
    </row>
    <row r="29" spans="1:5" x14ac:dyDescent="0.25">
      <c r="E29" s="10"/>
    </row>
    <row r="30" spans="1:5" x14ac:dyDescent="0.25">
      <c r="A30" s="10" t="s">
        <v>65</v>
      </c>
      <c r="B30" s="10" t="s">
        <v>64</v>
      </c>
      <c r="C30" s="10" t="s">
        <v>33</v>
      </c>
    </row>
    <row r="31" spans="1:5" x14ac:dyDescent="0.25">
      <c r="A31" t="s">
        <v>56</v>
      </c>
      <c r="B31" t="s">
        <v>68</v>
      </c>
    </row>
    <row r="32" spans="1:5" x14ac:dyDescent="0.25">
      <c r="A32" t="s">
        <v>54</v>
      </c>
      <c r="B32" t="s">
        <v>67</v>
      </c>
    </row>
    <row r="33" spans="1:5" x14ac:dyDescent="0.25">
      <c r="A33" s="20" t="s">
        <v>60</v>
      </c>
      <c r="C33" s="10"/>
      <c r="E33" s="10"/>
    </row>
    <row r="34" spans="1:5" x14ac:dyDescent="0.25">
      <c r="A34" t="s">
        <v>7</v>
      </c>
      <c r="B34">
        <f>4*16</f>
        <v>64</v>
      </c>
      <c r="C34" s="10" t="s">
        <v>23</v>
      </c>
    </row>
    <row r="35" spans="1:5" x14ac:dyDescent="0.25">
      <c r="A35" t="s">
        <v>8</v>
      </c>
      <c r="B35">
        <f>3*10</f>
        <v>30</v>
      </c>
      <c r="C35" s="10" t="s">
        <v>24</v>
      </c>
    </row>
    <row r="36" spans="1:5" x14ac:dyDescent="0.25">
      <c r="A36" t="s">
        <v>22</v>
      </c>
      <c r="B36" s="9">
        <f>B34*B35</f>
        <v>1920</v>
      </c>
    </row>
    <row r="37" spans="1:5" x14ac:dyDescent="0.25">
      <c r="A37" s="13" t="s">
        <v>9</v>
      </c>
      <c r="B37" s="21">
        <v>20</v>
      </c>
      <c r="C37" t="s">
        <v>25</v>
      </c>
    </row>
    <row r="38" spans="1:5" x14ac:dyDescent="0.25">
      <c r="A38" t="s">
        <v>14</v>
      </c>
      <c r="B38" s="9">
        <f>B36*B37</f>
        <v>38400</v>
      </c>
    </row>
    <row r="39" spans="1:5" x14ac:dyDescent="0.25">
      <c r="A39" s="20" t="s">
        <v>61</v>
      </c>
      <c r="B39" s="10" t="s">
        <v>15</v>
      </c>
      <c r="C39" s="10" t="s">
        <v>16</v>
      </c>
    </row>
    <row r="40" spans="1:5" x14ac:dyDescent="0.25">
      <c r="A40" t="s">
        <v>11</v>
      </c>
      <c r="B40" s="10">
        <v>3</v>
      </c>
      <c r="C40" s="10">
        <v>12</v>
      </c>
    </row>
    <row r="41" spans="1:5" x14ac:dyDescent="0.25">
      <c r="A41" t="s">
        <v>10</v>
      </c>
      <c r="B41" s="10">
        <v>36</v>
      </c>
      <c r="C41" s="10">
        <v>36</v>
      </c>
    </row>
    <row r="42" spans="1:5" x14ac:dyDescent="0.25">
      <c r="A42" t="s">
        <v>12</v>
      </c>
      <c r="B42" s="10">
        <v>6</v>
      </c>
      <c r="C42" s="10">
        <v>9</v>
      </c>
    </row>
    <row r="43" spans="1:5" x14ac:dyDescent="0.25">
      <c r="A43" s="13" t="s">
        <v>20</v>
      </c>
      <c r="B43" s="22">
        <f>B40*B41*B42</f>
        <v>648</v>
      </c>
      <c r="C43" s="22">
        <f>C40*C41*C42</f>
        <v>3888</v>
      </c>
    </row>
    <row r="44" spans="1:5" x14ac:dyDescent="0.25">
      <c r="A44" t="s">
        <v>21</v>
      </c>
      <c r="B44">
        <f>B43/(12*12)</f>
        <v>4.5</v>
      </c>
      <c r="C44">
        <f>C43/(12*12)</f>
        <v>27</v>
      </c>
    </row>
    <row r="45" spans="1:5" x14ac:dyDescent="0.25">
      <c r="A45" s="20" t="s">
        <v>63</v>
      </c>
    </row>
    <row r="46" spans="1:5" x14ac:dyDescent="0.25">
      <c r="A46" t="s">
        <v>13</v>
      </c>
      <c r="B46" s="10">
        <v>200</v>
      </c>
      <c r="C46" s="10">
        <v>200</v>
      </c>
    </row>
    <row r="47" spans="1:5" x14ac:dyDescent="0.25">
      <c r="A47" t="s">
        <v>17</v>
      </c>
      <c r="B47" s="9">
        <f>B44*B46</f>
        <v>900</v>
      </c>
      <c r="C47" s="9">
        <f>C44*C46</f>
        <v>5400</v>
      </c>
      <c r="D47" s="9"/>
    </row>
    <row r="48" spans="1:5" x14ac:dyDescent="0.25">
      <c r="A48" s="13" t="s">
        <v>18</v>
      </c>
      <c r="B48" s="22">
        <f>B47*60</f>
        <v>54000</v>
      </c>
      <c r="C48" s="22">
        <f>C47*60</f>
        <v>324000</v>
      </c>
      <c r="D48" s="22"/>
    </row>
    <row r="49" spans="1:4" x14ac:dyDescent="0.25">
      <c r="A49" t="s">
        <v>19</v>
      </c>
      <c r="B49" s="9"/>
      <c r="C49" s="9"/>
      <c r="D49" s="9">
        <f>B48+C48</f>
        <v>378000</v>
      </c>
    </row>
    <row r="50" spans="1:4" x14ac:dyDescent="0.25">
      <c r="A50" s="20" t="s">
        <v>62</v>
      </c>
    </row>
    <row r="51" spans="1:4" x14ac:dyDescent="0.25">
      <c r="A51" s="10" t="s">
        <v>37</v>
      </c>
      <c r="B51" s="12">
        <f>D49/B38</f>
        <v>9.84375</v>
      </c>
    </row>
    <row r="53" spans="1:4" x14ac:dyDescent="0.25">
      <c r="A53" s="19" t="s">
        <v>28</v>
      </c>
    </row>
    <row r="55" spans="1:4" x14ac:dyDescent="0.25">
      <c r="A55" s="10" t="s">
        <v>65</v>
      </c>
      <c r="B55" s="10" t="s">
        <v>64</v>
      </c>
      <c r="C55" s="10" t="s">
        <v>33</v>
      </c>
    </row>
    <row r="56" spans="1:4" x14ac:dyDescent="0.25">
      <c r="A56" t="s">
        <v>56</v>
      </c>
      <c r="B56" t="s">
        <v>66</v>
      </c>
    </row>
    <row r="57" spans="1:4" x14ac:dyDescent="0.25">
      <c r="A57" t="s">
        <v>54</v>
      </c>
      <c r="B57" t="s">
        <v>67</v>
      </c>
    </row>
    <row r="58" spans="1:4" x14ac:dyDescent="0.25">
      <c r="A58" s="20" t="s">
        <v>60</v>
      </c>
      <c r="D58" s="10"/>
    </row>
    <row r="59" spans="1:4" x14ac:dyDescent="0.25">
      <c r="A59" t="s">
        <v>29</v>
      </c>
      <c r="B59" s="15">
        <v>7000000</v>
      </c>
      <c r="C59" t="s">
        <v>34</v>
      </c>
    </row>
    <row r="60" spans="1:4" x14ac:dyDescent="0.25">
      <c r="A60" s="13" t="s">
        <v>31</v>
      </c>
      <c r="B60" s="21">
        <v>20</v>
      </c>
    </row>
    <row r="61" spans="1:4" x14ac:dyDescent="0.25">
      <c r="A61" s="10" t="s">
        <v>36</v>
      </c>
      <c r="B61" s="9">
        <f>B59*B60</f>
        <v>140000000</v>
      </c>
    </row>
    <row r="62" spans="1:4" x14ac:dyDescent="0.25">
      <c r="A62" s="20" t="s">
        <v>63</v>
      </c>
      <c r="B62" s="9"/>
    </row>
    <row r="63" spans="1:4" x14ac:dyDescent="0.25">
      <c r="A63" s="13" t="s">
        <v>30</v>
      </c>
      <c r="B63" s="23">
        <v>11000000</v>
      </c>
      <c r="C63" t="s">
        <v>32</v>
      </c>
    </row>
    <row r="64" spans="1:4" x14ac:dyDescent="0.25">
      <c r="A64" s="10" t="s">
        <v>35</v>
      </c>
      <c r="B64" s="9">
        <f>B63*60</f>
        <v>660000000</v>
      </c>
    </row>
    <row r="65" spans="1:3" x14ac:dyDescent="0.25">
      <c r="A65" s="20" t="s">
        <v>62</v>
      </c>
    </row>
    <row r="66" spans="1:3" x14ac:dyDescent="0.25">
      <c r="A66" s="10" t="s">
        <v>38</v>
      </c>
      <c r="B66" s="12">
        <f>B64/B61</f>
        <v>4.7142857142857144</v>
      </c>
      <c r="C66" s="12">
        <f>(11000000*60)/(7000000*20)</f>
        <v>4.7142857142857144</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F7B5A-31D7-4A82-A7CB-5EE456E997D0}">
  <dimension ref="A1:I11"/>
  <sheetViews>
    <sheetView workbookViewId="0"/>
  </sheetViews>
  <sheetFormatPr defaultRowHeight="15" x14ac:dyDescent="0.25"/>
  <sheetData>
    <row r="1" spans="1:9" x14ac:dyDescent="0.25">
      <c r="A1" t="s">
        <v>40</v>
      </c>
    </row>
    <row r="2" spans="1:9" x14ac:dyDescent="0.25">
      <c r="A2" t="s">
        <v>39</v>
      </c>
    </row>
    <row r="3" spans="1:9" x14ac:dyDescent="0.25">
      <c r="B3" s="11" t="s">
        <v>47</v>
      </c>
      <c r="C3">
        <v>9</v>
      </c>
    </row>
    <row r="4" spans="1:9" s="17" customFormat="1" ht="30" x14ac:dyDescent="0.25">
      <c r="A4" s="17" t="s">
        <v>41</v>
      </c>
      <c r="B4" s="17" t="s">
        <v>42</v>
      </c>
      <c r="C4" s="17" t="s">
        <v>46</v>
      </c>
      <c r="D4" s="17" t="s">
        <v>43</v>
      </c>
      <c r="E4" s="17" t="s">
        <v>44</v>
      </c>
      <c r="F4" s="17" t="s">
        <v>45</v>
      </c>
      <c r="G4" s="17" t="s">
        <v>48</v>
      </c>
    </row>
    <row r="5" spans="1:9" x14ac:dyDescent="0.25">
      <c r="A5" s="16">
        <v>0.5</v>
      </c>
      <c r="B5" s="12">
        <f>A5*3.28</f>
        <v>1.64</v>
      </c>
      <c r="C5" s="12">
        <f t="shared" ref="C5:C6" si="0">B5/C$3</f>
        <v>0.1822222222222222</v>
      </c>
      <c r="D5" s="10">
        <v>30</v>
      </c>
      <c r="E5" s="16">
        <v>0.5</v>
      </c>
      <c r="F5" s="12">
        <f>60/E5</f>
        <v>120</v>
      </c>
      <c r="G5" s="12">
        <f>C5*F5</f>
        <v>21.866666666666664</v>
      </c>
    </row>
    <row r="6" spans="1:9" x14ac:dyDescent="0.25">
      <c r="A6" s="16">
        <v>1.5</v>
      </c>
      <c r="B6" s="12">
        <f t="shared" ref="B6:B7" si="1">A6*3.28</f>
        <v>4.92</v>
      </c>
      <c r="C6" s="12">
        <f t="shared" si="0"/>
        <v>0.54666666666666663</v>
      </c>
      <c r="E6" s="16">
        <v>4.5</v>
      </c>
      <c r="F6" s="12">
        <f t="shared" ref="F6:F7" si="2">60/E6</f>
        <v>13.333333333333334</v>
      </c>
      <c r="G6" s="12">
        <f t="shared" ref="G6:G7" si="3">C6*F6</f>
        <v>7.2888888888888888</v>
      </c>
      <c r="H6" s="13"/>
    </row>
    <row r="7" spans="1:9" x14ac:dyDescent="0.25">
      <c r="A7" s="16">
        <v>2.5</v>
      </c>
      <c r="B7" s="12">
        <f t="shared" si="1"/>
        <v>8.1999999999999993</v>
      </c>
      <c r="C7" s="12">
        <f>B7/C$3</f>
        <v>0.91111111111111098</v>
      </c>
      <c r="E7" s="16">
        <v>12.4</v>
      </c>
      <c r="F7" s="12">
        <f t="shared" si="2"/>
        <v>4.838709677419355</v>
      </c>
      <c r="G7" s="14">
        <f t="shared" si="3"/>
        <v>4.408602150537634</v>
      </c>
      <c r="H7" s="12">
        <f>AVERAGE(G5:G6)</f>
        <v>14.577777777777776</v>
      </c>
      <c r="I7" s="10" t="s">
        <v>50</v>
      </c>
    </row>
    <row r="8" spans="1:9" x14ac:dyDescent="0.25">
      <c r="G8" s="12">
        <f>AVERAGE(G5:G7)</f>
        <v>11.188052568697728</v>
      </c>
      <c r="I8" s="10" t="s">
        <v>49</v>
      </c>
    </row>
    <row r="10" spans="1:9" x14ac:dyDescent="0.25">
      <c r="D10" s="18" t="s">
        <v>50</v>
      </c>
      <c r="E10" s="12">
        <f>H7</f>
        <v>14.577777777777776</v>
      </c>
    </row>
    <row r="11" spans="1:9" x14ac:dyDescent="0.25">
      <c r="D11" s="18" t="s">
        <v>49</v>
      </c>
      <c r="E11" s="12">
        <f>G8</f>
        <v>11.188052568697728</v>
      </c>
    </row>
  </sheetData>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B60F0-F111-41BD-BDB1-13B60EB66B78}">
  <dimension ref="A2:C26"/>
  <sheetViews>
    <sheetView topLeftCell="A2" workbookViewId="0">
      <selection activeCell="A2" sqref="A2"/>
    </sheetView>
  </sheetViews>
  <sheetFormatPr defaultRowHeight="15" x14ac:dyDescent="0.25"/>
  <cols>
    <col min="1" max="1" width="26.85546875" customWidth="1"/>
    <col min="2" max="2" width="10.42578125" bestFit="1" customWidth="1"/>
  </cols>
  <sheetData>
    <row r="2" spans="1:3" x14ac:dyDescent="0.25">
      <c r="A2" t="s">
        <v>53</v>
      </c>
    </row>
    <row r="4" spans="1:3" x14ac:dyDescent="0.25">
      <c r="A4" s="10" t="s">
        <v>65</v>
      </c>
      <c r="B4" s="10" t="s">
        <v>64</v>
      </c>
      <c r="C4" s="10" t="s">
        <v>33</v>
      </c>
    </row>
    <row r="5" spans="1:3" x14ac:dyDescent="0.25">
      <c r="A5" s="10"/>
      <c r="B5" s="10"/>
      <c r="C5" s="10"/>
    </row>
    <row r="6" spans="1:3" x14ac:dyDescent="0.25">
      <c r="A6" s="10" t="s">
        <v>56</v>
      </c>
      <c r="B6" t="s">
        <v>59</v>
      </c>
    </row>
    <row r="7" spans="1:3" x14ac:dyDescent="0.25">
      <c r="A7" t="s">
        <v>54</v>
      </c>
      <c r="B7" t="s">
        <v>55</v>
      </c>
    </row>
    <row r="8" spans="1:3" x14ac:dyDescent="0.25">
      <c r="A8" s="20" t="s">
        <v>60</v>
      </c>
    </row>
    <row r="9" spans="1:3" x14ac:dyDescent="0.25">
      <c r="A9" t="s">
        <v>7</v>
      </c>
      <c r="B9" s="10">
        <f>4*16</f>
        <v>64</v>
      </c>
    </row>
    <row r="10" spans="1:3" x14ac:dyDescent="0.25">
      <c r="A10" t="s">
        <v>8</v>
      </c>
      <c r="B10" s="10">
        <f>3*10</f>
        <v>30</v>
      </c>
    </row>
    <row r="11" spans="1:3" x14ac:dyDescent="0.25">
      <c r="A11" t="s">
        <v>22</v>
      </c>
      <c r="B11" s="9">
        <f>B9*B10</f>
        <v>1920</v>
      </c>
    </row>
    <row r="12" spans="1:3" x14ac:dyDescent="0.25">
      <c r="A12" s="13" t="s">
        <v>9</v>
      </c>
      <c r="B12" s="21">
        <v>20</v>
      </c>
    </row>
    <row r="13" spans="1:3" x14ac:dyDescent="0.25">
      <c r="A13" s="10" t="s">
        <v>14</v>
      </c>
      <c r="B13" s="9">
        <f>B11*B12</f>
        <v>38400</v>
      </c>
    </row>
    <row r="14" spans="1:3" x14ac:dyDescent="0.25">
      <c r="A14" s="20" t="s">
        <v>61</v>
      </c>
    </row>
    <row r="15" spans="1:3" x14ac:dyDescent="0.25">
      <c r="A15" t="s">
        <v>11</v>
      </c>
      <c r="B15" s="10">
        <v>48</v>
      </c>
    </row>
    <row r="16" spans="1:3" x14ac:dyDescent="0.25">
      <c r="A16" t="s">
        <v>10</v>
      </c>
      <c r="B16" s="10">
        <v>48</v>
      </c>
    </row>
    <row r="17" spans="1:2" x14ac:dyDescent="0.25">
      <c r="A17" t="s">
        <v>12</v>
      </c>
      <c r="B17" s="10">
        <v>2</v>
      </c>
    </row>
    <row r="18" spans="1:2" x14ac:dyDescent="0.25">
      <c r="A18" s="13" t="s">
        <v>20</v>
      </c>
      <c r="B18" s="22">
        <f>B15*B16*B17</f>
        <v>4608</v>
      </c>
    </row>
    <row r="19" spans="1:2" x14ac:dyDescent="0.25">
      <c r="A19" s="10" t="s">
        <v>21</v>
      </c>
      <c r="B19">
        <f>B18/(12*12)</f>
        <v>32</v>
      </c>
    </row>
    <row r="20" spans="1:2" x14ac:dyDescent="0.25">
      <c r="A20" s="20" t="s">
        <v>63</v>
      </c>
    </row>
    <row r="21" spans="1:2" x14ac:dyDescent="0.25">
      <c r="A21" t="s">
        <v>13</v>
      </c>
      <c r="B21" s="10">
        <v>200</v>
      </c>
    </row>
    <row r="22" spans="1:2" x14ac:dyDescent="0.25">
      <c r="A22" t="s">
        <v>17</v>
      </c>
      <c r="B22" s="9">
        <f>B19*B21</f>
        <v>6400</v>
      </c>
    </row>
    <row r="23" spans="1:2" x14ac:dyDescent="0.25">
      <c r="A23" s="13" t="s">
        <v>18</v>
      </c>
      <c r="B23" s="22">
        <f>B22*60</f>
        <v>384000</v>
      </c>
    </row>
    <row r="24" spans="1:2" x14ac:dyDescent="0.25">
      <c r="A24" s="10" t="s">
        <v>19</v>
      </c>
      <c r="B24" s="9">
        <f>B23+C23</f>
        <v>384000</v>
      </c>
    </row>
    <row r="25" spans="1:2" x14ac:dyDescent="0.25">
      <c r="A25" s="20" t="s">
        <v>62</v>
      </c>
    </row>
    <row r="26" spans="1:2" x14ac:dyDescent="0.25">
      <c r="A26" s="10" t="s">
        <v>37</v>
      </c>
      <c r="B26">
        <f>B24/B13</f>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4C0B-5C6E-491D-B5D4-BD270BA982A2}">
  <dimension ref="A2:H128"/>
  <sheetViews>
    <sheetView topLeftCell="A59" workbookViewId="0">
      <selection activeCell="D65" sqref="D65:D66"/>
    </sheetView>
  </sheetViews>
  <sheetFormatPr defaultRowHeight="15" x14ac:dyDescent="0.25"/>
  <cols>
    <col min="1" max="1" width="17" customWidth="1"/>
    <col min="2" max="2" width="12.140625" bestFit="1" customWidth="1"/>
    <col min="3" max="3" width="13.140625" bestFit="1" customWidth="1"/>
  </cols>
  <sheetData>
    <row r="2" spans="1:8" x14ac:dyDescent="0.25">
      <c r="A2" t="s">
        <v>69</v>
      </c>
    </row>
    <row r="4" spans="1:8" x14ac:dyDescent="0.25">
      <c r="A4" t="s">
        <v>70</v>
      </c>
      <c r="B4" t="s">
        <v>71</v>
      </c>
      <c r="C4" t="s">
        <v>72</v>
      </c>
      <c r="D4" t="s">
        <v>178</v>
      </c>
      <c r="E4" t="s">
        <v>185</v>
      </c>
      <c r="F4" t="s">
        <v>180</v>
      </c>
      <c r="G4" s="24" t="s">
        <v>179</v>
      </c>
      <c r="H4" t="s">
        <v>181</v>
      </c>
    </row>
    <row r="5" spans="1:8" x14ac:dyDescent="0.25">
      <c r="A5">
        <v>150</v>
      </c>
      <c r="B5" t="s">
        <v>73</v>
      </c>
      <c r="C5">
        <v>8</v>
      </c>
      <c r="D5" s="25">
        <f>A5/F5</f>
        <v>429.54545454545456</v>
      </c>
      <c r="E5">
        <f>(22/7)*(C5/(2))^2</f>
        <v>50.285714285714285</v>
      </c>
      <c r="F5">
        <f>(22/7)*(C5/(2*12))^2</f>
        <v>0.34920634920634919</v>
      </c>
      <c r="H5" t="s">
        <v>182</v>
      </c>
    </row>
    <row r="6" spans="1:8" x14ac:dyDescent="0.25">
      <c r="A6">
        <v>200</v>
      </c>
      <c r="B6" t="s">
        <v>73</v>
      </c>
      <c r="C6">
        <v>8</v>
      </c>
      <c r="D6" s="25">
        <f t="shared" ref="D6:D12" si="0">A6/F6</f>
        <v>572.72727272727275</v>
      </c>
      <c r="E6">
        <f t="shared" ref="E6:E12" si="1">(22/7)*(C6/(2))^2</f>
        <v>50.285714285714285</v>
      </c>
      <c r="F6">
        <f t="shared" ref="F6:F12" si="2">(22/7)*(C6/(2*12))^2</f>
        <v>0.34920634920634919</v>
      </c>
    </row>
    <row r="7" spans="1:8" x14ac:dyDescent="0.25">
      <c r="A7">
        <v>250</v>
      </c>
      <c r="B7" t="s">
        <v>73</v>
      </c>
      <c r="C7">
        <v>10</v>
      </c>
      <c r="D7" s="25">
        <f t="shared" si="0"/>
        <v>458.18181818181813</v>
      </c>
      <c r="E7">
        <f t="shared" si="1"/>
        <v>78.571428571428569</v>
      </c>
      <c r="F7">
        <f t="shared" si="2"/>
        <v>0.54563492063492069</v>
      </c>
    </row>
    <row r="8" spans="1:8" x14ac:dyDescent="0.25">
      <c r="A8">
        <v>300</v>
      </c>
      <c r="B8" t="s">
        <v>73</v>
      </c>
      <c r="C8">
        <v>10</v>
      </c>
      <c r="D8" s="25">
        <f t="shared" si="0"/>
        <v>549.81818181818176</v>
      </c>
      <c r="E8">
        <f t="shared" si="1"/>
        <v>78.571428571428569</v>
      </c>
      <c r="F8">
        <f t="shared" si="2"/>
        <v>0.54563492063492069</v>
      </c>
    </row>
    <row r="9" spans="1:8" x14ac:dyDescent="0.25">
      <c r="A9">
        <v>350</v>
      </c>
      <c r="B9" t="s">
        <v>73</v>
      </c>
      <c r="C9">
        <v>12</v>
      </c>
      <c r="D9" s="25">
        <f t="shared" si="0"/>
        <v>445.45454545454544</v>
      </c>
      <c r="E9">
        <f t="shared" si="1"/>
        <v>113.14285714285714</v>
      </c>
      <c r="F9">
        <f t="shared" si="2"/>
        <v>0.7857142857142857</v>
      </c>
    </row>
    <row r="10" spans="1:8" x14ac:dyDescent="0.25">
      <c r="A10">
        <v>400</v>
      </c>
      <c r="B10" t="s">
        <v>73</v>
      </c>
      <c r="C10">
        <v>12</v>
      </c>
      <c r="D10" s="25">
        <f t="shared" si="0"/>
        <v>509.09090909090912</v>
      </c>
      <c r="E10">
        <f t="shared" si="1"/>
        <v>113.14285714285714</v>
      </c>
      <c r="F10">
        <f t="shared" si="2"/>
        <v>0.7857142857142857</v>
      </c>
    </row>
    <row r="11" spans="1:8" x14ac:dyDescent="0.25">
      <c r="A11">
        <v>450</v>
      </c>
      <c r="B11" t="s">
        <v>73</v>
      </c>
      <c r="C11">
        <v>14</v>
      </c>
      <c r="D11" s="25">
        <f t="shared" si="0"/>
        <v>420.77922077922068</v>
      </c>
      <c r="E11">
        <f t="shared" si="1"/>
        <v>154</v>
      </c>
      <c r="F11">
        <f t="shared" si="2"/>
        <v>1.0694444444444446</v>
      </c>
    </row>
    <row r="12" spans="1:8" x14ac:dyDescent="0.25">
      <c r="A12">
        <v>500</v>
      </c>
      <c r="B12" t="s">
        <v>73</v>
      </c>
      <c r="C12">
        <v>14</v>
      </c>
      <c r="D12" s="25">
        <f t="shared" si="0"/>
        <v>467.53246753246742</v>
      </c>
      <c r="E12">
        <f t="shared" si="1"/>
        <v>154</v>
      </c>
      <c r="F12">
        <f t="shared" si="2"/>
        <v>1.0694444444444446</v>
      </c>
    </row>
    <row r="14" spans="1:8" x14ac:dyDescent="0.25">
      <c r="A14" t="s">
        <v>74</v>
      </c>
    </row>
    <row r="16" spans="1:8" x14ac:dyDescent="0.25">
      <c r="A16" t="s">
        <v>70</v>
      </c>
      <c r="B16" t="s">
        <v>71</v>
      </c>
      <c r="C16" t="s">
        <v>72</v>
      </c>
    </row>
    <row r="17" spans="1:8" x14ac:dyDescent="0.25">
      <c r="A17">
        <v>50</v>
      </c>
      <c r="B17" t="s">
        <v>75</v>
      </c>
      <c r="C17">
        <v>6</v>
      </c>
      <c r="D17" s="25">
        <f t="shared" ref="D17:D24" si="3">A17/F17</f>
        <v>254.54545454545456</v>
      </c>
      <c r="E17">
        <f t="shared" ref="E17:E24" si="4">(22/7)*(C17/(2))^2</f>
        <v>28.285714285714285</v>
      </c>
      <c r="F17">
        <f t="shared" ref="F17:F24" si="5">(22/7)*(C17/(2*12))^2</f>
        <v>0.19642857142857142</v>
      </c>
      <c r="H17" t="s">
        <v>183</v>
      </c>
    </row>
    <row r="18" spans="1:8" x14ac:dyDescent="0.25">
      <c r="A18">
        <v>100</v>
      </c>
      <c r="B18" t="s">
        <v>76</v>
      </c>
      <c r="C18">
        <v>8</v>
      </c>
      <c r="D18" s="25">
        <f t="shared" si="3"/>
        <v>286.36363636363637</v>
      </c>
      <c r="E18">
        <f t="shared" si="4"/>
        <v>50.285714285714285</v>
      </c>
      <c r="F18">
        <f t="shared" si="5"/>
        <v>0.34920634920634919</v>
      </c>
    </row>
    <row r="19" spans="1:8" x14ac:dyDescent="0.25">
      <c r="A19">
        <v>150</v>
      </c>
      <c r="B19" t="s">
        <v>77</v>
      </c>
      <c r="C19">
        <v>8</v>
      </c>
      <c r="D19" s="25">
        <f t="shared" si="3"/>
        <v>429.54545454545456</v>
      </c>
      <c r="E19">
        <f t="shared" si="4"/>
        <v>50.285714285714285</v>
      </c>
      <c r="F19">
        <f t="shared" si="5"/>
        <v>0.34920634920634919</v>
      </c>
    </row>
    <row r="20" spans="1:8" x14ac:dyDescent="0.25">
      <c r="A20">
        <v>200</v>
      </c>
      <c r="B20" t="s">
        <v>77</v>
      </c>
      <c r="C20">
        <v>10</v>
      </c>
      <c r="D20" s="25">
        <f t="shared" si="3"/>
        <v>366.5454545454545</v>
      </c>
      <c r="E20">
        <f t="shared" si="4"/>
        <v>78.571428571428569</v>
      </c>
      <c r="F20">
        <f t="shared" si="5"/>
        <v>0.54563492063492069</v>
      </c>
    </row>
    <row r="21" spans="1:8" x14ac:dyDescent="0.25">
      <c r="A21">
        <v>250</v>
      </c>
      <c r="B21" t="s">
        <v>78</v>
      </c>
      <c r="C21">
        <v>8</v>
      </c>
      <c r="D21" s="25">
        <f t="shared" si="3"/>
        <v>715.90909090909099</v>
      </c>
      <c r="E21">
        <f t="shared" si="4"/>
        <v>50.285714285714285</v>
      </c>
      <c r="F21">
        <f t="shared" si="5"/>
        <v>0.34920634920634919</v>
      </c>
    </row>
    <row r="22" spans="1:8" x14ac:dyDescent="0.25">
      <c r="A22">
        <v>300</v>
      </c>
      <c r="B22" t="s">
        <v>78</v>
      </c>
      <c r="C22">
        <v>10</v>
      </c>
      <c r="D22" s="25">
        <f t="shared" si="3"/>
        <v>549.81818181818176</v>
      </c>
      <c r="E22">
        <f t="shared" si="4"/>
        <v>78.571428571428569</v>
      </c>
      <c r="F22">
        <f t="shared" si="5"/>
        <v>0.54563492063492069</v>
      </c>
    </row>
    <row r="23" spans="1:8" x14ac:dyDescent="0.25">
      <c r="A23">
        <v>350</v>
      </c>
      <c r="B23" t="s">
        <v>79</v>
      </c>
      <c r="C23">
        <v>10</v>
      </c>
      <c r="D23" s="25">
        <f t="shared" si="3"/>
        <v>641.45454545454538</v>
      </c>
      <c r="E23">
        <f t="shared" si="4"/>
        <v>78.571428571428569</v>
      </c>
      <c r="F23">
        <f t="shared" si="5"/>
        <v>0.54563492063492069</v>
      </c>
    </row>
    <row r="24" spans="1:8" x14ac:dyDescent="0.25">
      <c r="A24">
        <v>400</v>
      </c>
      <c r="B24" t="s">
        <v>79</v>
      </c>
      <c r="C24">
        <v>12</v>
      </c>
      <c r="D24" s="25">
        <f t="shared" si="3"/>
        <v>509.09090909090912</v>
      </c>
      <c r="E24">
        <f t="shared" si="4"/>
        <v>113.14285714285714</v>
      </c>
      <c r="F24">
        <f t="shared" si="5"/>
        <v>0.7857142857142857</v>
      </c>
    </row>
    <row r="26" spans="1:8" x14ac:dyDescent="0.25">
      <c r="A26" t="s">
        <v>80</v>
      </c>
    </row>
    <row r="28" spans="1:8" x14ac:dyDescent="0.25">
      <c r="A28" t="s">
        <v>81</v>
      </c>
      <c r="B28" t="s">
        <v>82</v>
      </c>
      <c r="C28" t="s">
        <v>70</v>
      </c>
      <c r="D28" t="s">
        <v>177</v>
      </c>
      <c r="H28" t="s">
        <v>184</v>
      </c>
    </row>
    <row r="29" spans="1:8" x14ac:dyDescent="0.25">
      <c r="A29">
        <v>24</v>
      </c>
      <c r="B29" t="s">
        <v>83</v>
      </c>
      <c r="C29">
        <v>58</v>
      </c>
      <c r="D29" s="25">
        <f>C29/(A29/144)</f>
        <v>348</v>
      </c>
      <c r="E29" s="25"/>
    </row>
    <row r="30" spans="1:8" x14ac:dyDescent="0.25">
      <c r="A30">
        <v>48</v>
      </c>
      <c r="B30" t="s">
        <v>84</v>
      </c>
      <c r="C30">
        <v>117</v>
      </c>
      <c r="D30" s="25">
        <f t="shared" ref="D30:D60" si="6">C30/(A30/144)</f>
        <v>351</v>
      </c>
      <c r="E30" s="25"/>
    </row>
    <row r="31" spans="1:8" x14ac:dyDescent="0.25">
      <c r="A31">
        <v>60</v>
      </c>
      <c r="B31" t="s">
        <v>85</v>
      </c>
      <c r="C31">
        <v>146</v>
      </c>
      <c r="D31" s="25">
        <f t="shared" si="6"/>
        <v>350.4</v>
      </c>
      <c r="E31" s="25"/>
    </row>
    <row r="32" spans="1:8" x14ac:dyDescent="0.25">
      <c r="A32">
        <v>180</v>
      </c>
      <c r="B32" t="s">
        <v>86</v>
      </c>
      <c r="C32">
        <v>438</v>
      </c>
      <c r="D32" s="25">
        <f t="shared" si="6"/>
        <v>350.4</v>
      </c>
      <c r="E32" s="25"/>
    </row>
    <row r="33" spans="1:5" x14ac:dyDescent="0.25">
      <c r="A33">
        <v>128</v>
      </c>
      <c r="B33" t="s">
        <v>87</v>
      </c>
      <c r="C33">
        <v>311</v>
      </c>
      <c r="D33" s="25">
        <f t="shared" si="6"/>
        <v>349.875</v>
      </c>
      <c r="E33" s="25"/>
    </row>
    <row r="34" spans="1:5" x14ac:dyDescent="0.25">
      <c r="A34">
        <v>144</v>
      </c>
      <c r="B34" t="s">
        <v>88</v>
      </c>
      <c r="C34">
        <v>350</v>
      </c>
      <c r="D34" s="25">
        <f t="shared" si="6"/>
        <v>350</v>
      </c>
      <c r="E34" s="25"/>
    </row>
    <row r="35" spans="1:5" x14ac:dyDescent="0.25">
      <c r="A35">
        <v>192</v>
      </c>
      <c r="B35" t="s">
        <v>89</v>
      </c>
      <c r="C35">
        <v>467</v>
      </c>
      <c r="D35" s="25">
        <f t="shared" si="6"/>
        <v>350.25</v>
      </c>
      <c r="E35" s="25"/>
    </row>
    <row r="36" spans="1:5" x14ac:dyDescent="0.25">
      <c r="A36">
        <v>240</v>
      </c>
      <c r="B36" t="s">
        <v>90</v>
      </c>
      <c r="C36">
        <v>583</v>
      </c>
      <c r="D36" s="25">
        <f t="shared" si="6"/>
        <v>349.8</v>
      </c>
      <c r="E36" s="25"/>
    </row>
    <row r="37" spans="1:5" x14ac:dyDescent="0.25">
      <c r="A37">
        <v>256</v>
      </c>
      <c r="B37" t="s">
        <v>91</v>
      </c>
      <c r="C37">
        <v>622</v>
      </c>
      <c r="D37" s="25">
        <f t="shared" si="6"/>
        <v>349.875</v>
      </c>
      <c r="E37" s="25"/>
    </row>
    <row r="38" spans="1:5" x14ac:dyDescent="0.25">
      <c r="A38">
        <v>200</v>
      </c>
      <c r="B38" t="s">
        <v>92</v>
      </c>
      <c r="C38">
        <v>486</v>
      </c>
      <c r="D38" s="25">
        <f t="shared" si="6"/>
        <v>349.92</v>
      </c>
      <c r="E38" s="25"/>
    </row>
    <row r="39" spans="1:5" x14ac:dyDescent="0.25">
      <c r="A39">
        <v>220</v>
      </c>
      <c r="B39" t="s">
        <v>93</v>
      </c>
      <c r="C39">
        <v>535</v>
      </c>
      <c r="D39" s="25">
        <f t="shared" si="6"/>
        <v>350.18181818181819</v>
      </c>
      <c r="E39" s="25"/>
    </row>
    <row r="40" spans="1:5" x14ac:dyDescent="0.25">
      <c r="A40">
        <v>240</v>
      </c>
      <c r="B40" t="s">
        <v>94</v>
      </c>
      <c r="C40">
        <v>583</v>
      </c>
      <c r="D40" s="25">
        <f t="shared" si="6"/>
        <v>349.8</v>
      </c>
      <c r="E40" s="25"/>
    </row>
    <row r="41" spans="1:5" x14ac:dyDescent="0.25">
      <c r="A41">
        <v>300</v>
      </c>
      <c r="B41" t="s">
        <v>95</v>
      </c>
      <c r="C41">
        <v>729</v>
      </c>
      <c r="D41" s="25">
        <f t="shared" si="6"/>
        <v>349.91999999999996</v>
      </c>
      <c r="E41" s="25"/>
    </row>
    <row r="42" spans="1:5" x14ac:dyDescent="0.25">
      <c r="A42">
        <v>216</v>
      </c>
      <c r="B42" t="s">
        <v>96</v>
      </c>
      <c r="C42">
        <v>525</v>
      </c>
      <c r="D42" s="25">
        <f t="shared" si="6"/>
        <v>350</v>
      </c>
      <c r="E42" s="25"/>
    </row>
    <row r="43" spans="1:5" x14ac:dyDescent="0.25">
      <c r="A43">
        <v>240</v>
      </c>
      <c r="B43" t="s">
        <v>97</v>
      </c>
      <c r="C43">
        <v>583</v>
      </c>
      <c r="D43" s="25">
        <f t="shared" si="6"/>
        <v>349.8</v>
      </c>
      <c r="E43" s="25"/>
    </row>
    <row r="44" spans="1:5" x14ac:dyDescent="0.25">
      <c r="A44">
        <v>288</v>
      </c>
      <c r="B44" t="s">
        <v>98</v>
      </c>
      <c r="C44">
        <v>700</v>
      </c>
      <c r="D44" s="25">
        <f t="shared" si="6"/>
        <v>350</v>
      </c>
      <c r="E44" s="25"/>
    </row>
    <row r="45" spans="1:5" x14ac:dyDescent="0.25">
      <c r="A45">
        <v>360</v>
      </c>
      <c r="B45" t="s">
        <v>99</v>
      </c>
      <c r="C45">
        <v>875</v>
      </c>
      <c r="D45" s="25">
        <f t="shared" si="6"/>
        <v>350</v>
      </c>
      <c r="E45" s="25"/>
    </row>
    <row r="46" spans="1:5" x14ac:dyDescent="0.25">
      <c r="A46">
        <v>238</v>
      </c>
      <c r="B46" t="s">
        <v>100</v>
      </c>
      <c r="C46">
        <v>578</v>
      </c>
      <c r="D46" s="25">
        <f t="shared" si="6"/>
        <v>349.71428571428572</v>
      </c>
      <c r="E46" s="25"/>
    </row>
    <row r="47" spans="1:5" x14ac:dyDescent="0.25">
      <c r="A47">
        <v>280</v>
      </c>
      <c r="B47" t="s">
        <v>101</v>
      </c>
      <c r="C47">
        <v>681</v>
      </c>
      <c r="D47" s="25">
        <f t="shared" si="6"/>
        <v>350.22857142857146</v>
      </c>
      <c r="E47" s="25"/>
    </row>
    <row r="48" spans="1:5" x14ac:dyDescent="0.25">
      <c r="A48">
        <v>350</v>
      </c>
      <c r="B48" t="s">
        <v>102</v>
      </c>
      <c r="C48">
        <v>851</v>
      </c>
      <c r="D48" s="25">
        <f t="shared" si="6"/>
        <v>350.12571428571431</v>
      </c>
      <c r="E48" s="25"/>
    </row>
    <row r="49" spans="1:5" x14ac:dyDescent="0.25">
      <c r="A49">
        <v>364</v>
      </c>
      <c r="B49" t="s">
        <v>103</v>
      </c>
      <c r="C49">
        <v>885</v>
      </c>
      <c r="D49" s="25">
        <f t="shared" si="6"/>
        <v>350.1098901098901</v>
      </c>
      <c r="E49" s="25"/>
    </row>
    <row r="50" spans="1:5" x14ac:dyDescent="0.25">
      <c r="A50">
        <v>288</v>
      </c>
      <c r="B50" t="s">
        <v>104</v>
      </c>
      <c r="C50">
        <v>700</v>
      </c>
      <c r="D50" s="25">
        <f t="shared" si="6"/>
        <v>350</v>
      </c>
      <c r="E50" s="25"/>
    </row>
    <row r="51" spans="1:5" x14ac:dyDescent="0.25">
      <c r="A51">
        <v>320</v>
      </c>
      <c r="B51" t="s">
        <v>105</v>
      </c>
      <c r="C51">
        <v>778</v>
      </c>
      <c r="D51" s="25">
        <f t="shared" si="6"/>
        <v>350.09999999999997</v>
      </c>
      <c r="E51" s="25"/>
    </row>
    <row r="52" spans="1:5" x14ac:dyDescent="0.25">
      <c r="A52">
        <v>400</v>
      </c>
      <c r="B52" t="s">
        <v>106</v>
      </c>
      <c r="C52">
        <v>972</v>
      </c>
      <c r="D52" s="25">
        <f t="shared" si="6"/>
        <v>349.92</v>
      </c>
      <c r="E52" s="25"/>
    </row>
    <row r="53" spans="1:5" x14ac:dyDescent="0.25">
      <c r="A53">
        <v>416</v>
      </c>
      <c r="B53" t="s">
        <v>107</v>
      </c>
      <c r="C53">
        <v>1011</v>
      </c>
      <c r="D53" s="25">
        <f t="shared" si="6"/>
        <v>349.96153846153845</v>
      </c>
      <c r="E53" s="25"/>
    </row>
    <row r="54" spans="1:5" x14ac:dyDescent="0.25">
      <c r="A54">
        <v>432</v>
      </c>
      <c r="B54" t="s">
        <v>108</v>
      </c>
      <c r="C54">
        <v>1050</v>
      </c>
      <c r="D54" s="25">
        <f t="shared" si="6"/>
        <v>350</v>
      </c>
      <c r="E54" s="25"/>
    </row>
    <row r="55" spans="1:5" x14ac:dyDescent="0.25">
      <c r="A55">
        <v>468</v>
      </c>
      <c r="B55" t="s">
        <v>109</v>
      </c>
      <c r="C55">
        <v>1138</v>
      </c>
      <c r="D55" s="25">
        <f t="shared" si="6"/>
        <v>350.15384615384613</v>
      </c>
      <c r="E55" s="25"/>
    </row>
    <row r="56" spans="1:5" x14ac:dyDescent="0.25">
      <c r="A56">
        <v>540</v>
      </c>
      <c r="B56" t="s">
        <v>110</v>
      </c>
      <c r="C56">
        <v>1313</v>
      </c>
      <c r="D56" s="25">
        <f t="shared" si="6"/>
        <v>350.13333333333333</v>
      </c>
      <c r="E56" s="25"/>
    </row>
    <row r="57" spans="1:5" x14ac:dyDescent="0.25">
      <c r="A57">
        <v>576</v>
      </c>
      <c r="B57" t="s">
        <v>111</v>
      </c>
      <c r="C57">
        <v>1400</v>
      </c>
      <c r="D57" s="25">
        <f t="shared" si="6"/>
        <v>350</v>
      </c>
      <c r="E57" s="25"/>
    </row>
    <row r="58" spans="1:5" x14ac:dyDescent="0.25">
      <c r="A58">
        <v>480</v>
      </c>
      <c r="B58" t="s">
        <v>112</v>
      </c>
      <c r="C58">
        <v>1167</v>
      </c>
      <c r="D58" s="25">
        <f t="shared" si="6"/>
        <v>350.09999999999997</v>
      </c>
      <c r="E58" s="25"/>
    </row>
    <row r="59" spans="1:5" x14ac:dyDescent="0.25">
      <c r="A59">
        <v>500</v>
      </c>
      <c r="B59" t="s">
        <v>113</v>
      </c>
      <c r="C59">
        <v>1215</v>
      </c>
      <c r="D59" s="25">
        <f t="shared" si="6"/>
        <v>349.92</v>
      </c>
      <c r="E59" s="25"/>
    </row>
    <row r="60" spans="1:5" x14ac:dyDescent="0.25">
      <c r="A60">
        <v>600</v>
      </c>
      <c r="B60" t="s">
        <v>114</v>
      </c>
      <c r="C60">
        <v>1458</v>
      </c>
      <c r="D60" s="25">
        <f t="shared" si="6"/>
        <v>349.91999999999996</v>
      </c>
      <c r="E60" s="25"/>
    </row>
    <row r="62" spans="1:5" x14ac:dyDescent="0.25">
      <c r="A62" t="s">
        <v>115</v>
      </c>
    </row>
    <row r="64" spans="1:5" x14ac:dyDescent="0.25">
      <c r="A64" t="s">
        <v>81</v>
      </c>
      <c r="B64" t="s">
        <v>82</v>
      </c>
      <c r="C64" t="s">
        <v>70</v>
      </c>
    </row>
    <row r="65" spans="1:5" x14ac:dyDescent="0.25">
      <c r="A65">
        <v>36</v>
      </c>
      <c r="B65" t="s">
        <v>116</v>
      </c>
      <c r="C65">
        <v>88</v>
      </c>
      <c r="D65" s="25">
        <f t="shared" ref="D65:D76" si="7">C65/(A65/144)</f>
        <v>352</v>
      </c>
      <c r="E65" s="25"/>
    </row>
    <row r="66" spans="1:5" x14ac:dyDescent="0.25">
      <c r="A66">
        <v>64</v>
      </c>
      <c r="B66" t="s">
        <v>117</v>
      </c>
      <c r="C66">
        <v>156</v>
      </c>
      <c r="D66" s="25">
        <f t="shared" si="7"/>
        <v>351</v>
      </c>
      <c r="E66" s="25"/>
    </row>
    <row r="67" spans="1:5" x14ac:dyDescent="0.25">
      <c r="A67">
        <v>100</v>
      </c>
      <c r="B67" t="s">
        <v>118</v>
      </c>
      <c r="C67">
        <v>243</v>
      </c>
      <c r="D67" s="25">
        <f t="shared" si="7"/>
        <v>349.92</v>
      </c>
      <c r="E67" s="25"/>
    </row>
    <row r="68" spans="1:5" x14ac:dyDescent="0.25">
      <c r="A68">
        <v>144</v>
      </c>
      <c r="B68" t="s">
        <v>119</v>
      </c>
      <c r="C68">
        <v>350</v>
      </c>
      <c r="D68" s="25">
        <f t="shared" si="7"/>
        <v>350</v>
      </c>
      <c r="E68" s="25"/>
    </row>
    <row r="69" spans="1:5" x14ac:dyDescent="0.25">
      <c r="A69">
        <v>196</v>
      </c>
      <c r="B69" t="s">
        <v>120</v>
      </c>
      <c r="C69">
        <v>476</v>
      </c>
      <c r="D69" s="25">
        <f t="shared" si="7"/>
        <v>349.71428571428572</v>
      </c>
      <c r="E69" s="25"/>
    </row>
    <row r="70" spans="1:5" x14ac:dyDescent="0.25">
      <c r="A70">
        <v>256</v>
      </c>
      <c r="B70" t="s">
        <v>121</v>
      </c>
      <c r="C70">
        <v>622</v>
      </c>
      <c r="D70" s="25">
        <f t="shared" si="7"/>
        <v>349.875</v>
      </c>
      <c r="E70" s="25"/>
    </row>
    <row r="71" spans="1:5" x14ac:dyDescent="0.25">
      <c r="A71">
        <v>324</v>
      </c>
      <c r="B71" t="s">
        <v>122</v>
      </c>
      <c r="C71">
        <v>788</v>
      </c>
      <c r="D71" s="25">
        <f t="shared" si="7"/>
        <v>350.22222222222223</v>
      </c>
      <c r="E71" s="25"/>
    </row>
    <row r="72" spans="1:5" x14ac:dyDescent="0.25">
      <c r="A72">
        <v>400</v>
      </c>
      <c r="B72" t="s">
        <v>123</v>
      </c>
      <c r="C72">
        <v>972</v>
      </c>
      <c r="D72" s="25">
        <f t="shared" si="7"/>
        <v>349.92</v>
      </c>
      <c r="E72" s="25"/>
    </row>
    <row r="73" spans="1:5" x14ac:dyDescent="0.25">
      <c r="A73">
        <v>484</v>
      </c>
      <c r="B73" t="s">
        <v>124</v>
      </c>
      <c r="C73">
        <v>1176</v>
      </c>
      <c r="D73" s="25">
        <f t="shared" si="7"/>
        <v>349.88429752066116</v>
      </c>
      <c r="E73" s="25"/>
    </row>
    <row r="74" spans="1:5" x14ac:dyDescent="0.25">
      <c r="A74">
        <v>576</v>
      </c>
      <c r="B74" t="s">
        <v>125</v>
      </c>
      <c r="C74">
        <v>1400</v>
      </c>
      <c r="D74" s="25">
        <f t="shared" si="7"/>
        <v>350</v>
      </c>
      <c r="E74" s="25"/>
    </row>
    <row r="75" spans="1:5" x14ac:dyDescent="0.25">
      <c r="A75">
        <v>676</v>
      </c>
      <c r="B75" t="s">
        <v>126</v>
      </c>
      <c r="C75">
        <v>1643</v>
      </c>
      <c r="D75" s="25">
        <f t="shared" si="7"/>
        <v>349.98816568047334</v>
      </c>
      <c r="E75" s="25"/>
    </row>
    <row r="76" spans="1:5" x14ac:dyDescent="0.25">
      <c r="A76">
        <v>900</v>
      </c>
      <c r="B76" t="s">
        <v>127</v>
      </c>
      <c r="C76">
        <v>2188</v>
      </c>
      <c r="D76" s="25">
        <f t="shared" si="7"/>
        <v>350.08</v>
      </c>
      <c r="E76" s="25"/>
    </row>
    <row r="78" spans="1:5" x14ac:dyDescent="0.25">
      <c r="A78" t="s">
        <v>128</v>
      </c>
    </row>
    <row r="80" spans="1:5" x14ac:dyDescent="0.25">
      <c r="A80" t="s">
        <v>81</v>
      </c>
      <c r="B80" t="s">
        <v>82</v>
      </c>
      <c r="C80" t="s">
        <v>70</v>
      </c>
    </row>
    <row r="81" spans="1:5" x14ac:dyDescent="0.25">
      <c r="A81">
        <v>48</v>
      </c>
      <c r="B81" t="s">
        <v>129</v>
      </c>
      <c r="C81">
        <v>117</v>
      </c>
      <c r="D81" s="25">
        <f t="shared" ref="D81:D128" si="8">C81/(A81/144)</f>
        <v>351</v>
      </c>
      <c r="E81" s="25"/>
    </row>
    <row r="82" spans="1:5" x14ac:dyDescent="0.25">
      <c r="A82">
        <v>72</v>
      </c>
      <c r="B82" t="s">
        <v>130</v>
      </c>
      <c r="C82">
        <v>175</v>
      </c>
      <c r="D82" s="25">
        <f t="shared" si="8"/>
        <v>350</v>
      </c>
      <c r="E82" s="25"/>
    </row>
    <row r="83" spans="1:5" x14ac:dyDescent="0.25">
      <c r="A83">
        <v>120</v>
      </c>
      <c r="B83" t="s">
        <v>131</v>
      </c>
      <c r="C83">
        <v>292</v>
      </c>
      <c r="D83" s="25">
        <f t="shared" si="8"/>
        <v>350.4</v>
      </c>
      <c r="E83" s="25"/>
    </row>
    <row r="84" spans="1:5" x14ac:dyDescent="0.25">
      <c r="A84">
        <v>84</v>
      </c>
      <c r="B84" t="s">
        <v>132</v>
      </c>
      <c r="C84">
        <v>204</v>
      </c>
      <c r="D84" s="25">
        <f t="shared" si="8"/>
        <v>349.71428571428567</v>
      </c>
      <c r="E84" s="25"/>
    </row>
    <row r="85" spans="1:5" x14ac:dyDescent="0.25">
      <c r="A85">
        <v>112</v>
      </c>
      <c r="B85" t="s">
        <v>133</v>
      </c>
      <c r="C85">
        <v>272</v>
      </c>
      <c r="D85" s="25">
        <f t="shared" si="8"/>
        <v>349.71428571428572</v>
      </c>
      <c r="E85" s="25"/>
    </row>
    <row r="86" spans="1:5" x14ac:dyDescent="0.25">
      <c r="A86">
        <v>140</v>
      </c>
      <c r="B86" t="s">
        <v>134</v>
      </c>
      <c r="C86">
        <v>340</v>
      </c>
      <c r="D86" s="25">
        <f t="shared" si="8"/>
        <v>349.71428571428572</v>
      </c>
      <c r="E86" s="25"/>
    </row>
    <row r="87" spans="1:5" x14ac:dyDescent="0.25">
      <c r="A87">
        <v>96</v>
      </c>
      <c r="B87" t="s">
        <v>135</v>
      </c>
      <c r="C87">
        <v>233</v>
      </c>
      <c r="D87" s="25">
        <f t="shared" si="8"/>
        <v>349.5</v>
      </c>
      <c r="E87" s="25"/>
    </row>
    <row r="88" spans="1:5" x14ac:dyDescent="0.25">
      <c r="A88">
        <v>128</v>
      </c>
      <c r="B88" t="s">
        <v>136</v>
      </c>
      <c r="C88">
        <v>311</v>
      </c>
      <c r="D88" s="25">
        <f t="shared" si="8"/>
        <v>349.875</v>
      </c>
      <c r="E88" s="25"/>
    </row>
    <row r="89" spans="1:5" x14ac:dyDescent="0.25">
      <c r="A89">
        <v>192</v>
      </c>
      <c r="B89" t="s">
        <v>137</v>
      </c>
      <c r="C89">
        <v>467</v>
      </c>
      <c r="D89" s="25">
        <f t="shared" si="8"/>
        <v>350.25</v>
      </c>
      <c r="E89" s="25"/>
    </row>
    <row r="90" spans="1:5" x14ac:dyDescent="0.25">
      <c r="A90">
        <v>180</v>
      </c>
      <c r="B90" t="s">
        <v>138</v>
      </c>
      <c r="C90">
        <v>438</v>
      </c>
      <c r="D90" s="25">
        <f t="shared" si="8"/>
        <v>350.4</v>
      </c>
      <c r="E90" s="25"/>
    </row>
    <row r="91" spans="1:5" x14ac:dyDescent="0.25">
      <c r="A91">
        <v>216</v>
      </c>
      <c r="B91" t="s">
        <v>139</v>
      </c>
      <c r="C91">
        <v>525</v>
      </c>
      <c r="D91" s="25">
        <f t="shared" si="8"/>
        <v>350</v>
      </c>
      <c r="E91" s="25"/>
    </row>
    <row r="92" spans="1:5" x14ac:dyDescent="0.25">
      <c r="A92">
        <v>252</v>
      </c>
      <c r="B92" t="s">
        <v>140</v>
      </c>
      <c r="C92">
        <v>613</v>
      </c>
      <c r="D92" s="25">
        <f t="shared" si="8"/>
        <v>350.28571428571428</v>
      </c>
      <c r="E92" s="25"/>
    </row>
    <row r="93" spans="1:5" x14ac:dyDescent="0.25">
      <c r="A93">
        <v>160</v>
      </c>
      <c r="B93" t="s">
        <v>141</v>
      </c>
      <c r="C93">
        <v>389</v>
      </c>
      <c r="D93" s="25">
        <f t="shared" si="8"/>
        <v>350.09999999999997</v>
      </c>
      <c r="E93" s="25"/>
    </row>
    <row r="94" spans="1:5" x14ac:dyDescent="0.25">
      <c r="A94">
        <v>200</v>
      </c>
      <c r="B94" t="s">
        <v>142</v>
      </c>
      <c r="C94">
        <v>486</v>
      </c>
      <c r="D94" s="25">
        <f t="shared" si="8"/>
        <v>349.92</v>
      </c>
      <c r="E94" s="25"/>
    </row>
    <row r="95" spans="1:5" x14ac:dyDescent="0.25">
      <c r="A95">
        <v>240</v>
      </c>
      <c r="B95" t="s">
        <v>143</v>
      </c>
      <c r="C95">
        <v>583</v>
      </c>
      <c r="D95" s="25">
        <f t="shared" si="8"/>
        <v>349.8</v>
      </c>
      <c r="E95" s="25"/>
    </row>
    <row r="96" spans="1:5" x14ac:dyDescent="0.25">
      <c r="A96">
        <v>280</v>
      </c>
      <c r="B96" t="s">
        <v>144</v>
      </c>
      <c r="C96">
        <v>681</v>
      </c>
      <c r="D96" s="25">
        <f t="shared" si="8"/>
        <v>350.22857142857146</v>
      </c>
      <c r="E96" s="25"/>
    </row>
    <row r="97" spans="1:5" x14ac:dyDescent="0.25">
      <c r="A97">
        <v>320</v>
      </c>
      <c r="B97" t="s">
        <v>145</v>
      </c>
      <c r="C97">
        <v>778</v>
      </c>
      <c r="D97" s="25">
        <f t="shared" si="8"/>
        <v>350.09999999999997</v>
      </c>
      <c r="E97" s="25"/>
    </row>
    <row r="98" spans="1:5" x14ac:dyDescent="0.25">
      <c r="A98">
        <v>360</v>
      </c>
      <c r="B98" t="s">
        <v>146</v>
      </c>
      <c r="C98">
        <v>875</v>
      </c>
      <c r="D98" s="25">
        <f t="shared" si="8"/>
        <v>350</v>
      </c>
      <c r="E98" s="25"/>
    </row>
    <row r="99" spans="1:5" x14ac:dyDescent="0.25">
      <c r="A99">
        <v>176</v>
      </c>
      <c r="B99" t="s">
        <v>147</v>
      </c>
      <c r="C99">
        <v>428</v>
      </c>
      <c r="D99" s="25">
        <f t="shared" si="8"/>
        <v>350.18181818181813</v>
      </c>
      <c r="E99" s="25"/>
    </row>
    <row r="100" spans="1:5" x14ac:dyDescent="0.25">
      <c r="A100">
        <v>220</v>
      </c>
      <c r="B100" t="s">
        <v>148</v>
      </c>
      <c r="C100">
        <v>535</v>
      </c>
      <c r="D100" s="25">
        <f t="shared" si="8"/>
        <v>350.18181818181819</v>
      </c>
      <c r="E100" s="25"/>
    </row>
    <row r="101" spans="1:5" x14ac:dyDescent="0.25">
      <c r="A101">
        <v>96</v>
      </c>
      <c r="B101" t="s">
        <v>149</v>
      </c>
      <c r="C101">
        <v>233</v>
      </c>
      <c r="D101" s="25">
        <f t="shared" si="8"/>
        <v>349.5</v>
      </c>
      <c r="E101" s="25"/>
    </row>
    <row r="102" spans="1:5" x14ac:dyDescent="0.25">
      <c r="A102">
        <v>144</v>
      </c>
      <c r="B102" t="s">
        <v>150</v>
      </c>
      <c r="C102">
        <v>350</v>
      </c>
      <c r="D102" s="25">
        <f t="shared" si="8"/>
        <v>350</v>
      </c>
      <c r="E102" s="25"/>
    </row>
    <row r="103" spans="1:5" x14ac:dyDescent="0.25">
      <c r="A103">
        <v>192</v>
      </c>
      <c r="B103" t="s">
        <v>151</v>
      </c>
      <c r="C103">
        <v>467</v>
      </c>
      <c r="D103" s="25">
        <f t="shared" si="8"/>
        <v>350.25</v>
      </c>
      <c r="E103" s="25"/>
    </row>
    <row r="104" spans="1:5" x14ac:dyDescent="0.25">
      <c r="A104">
        <v>288</v>
      </c>
      <c r="B104" t="s">
        <v>152</v>
      </c>
      <c r="C104">
        <v>700</v>
      </c>
      <c r="D104" s="25">
        <f t="shared" si="8"/>
        <v>350</v>
      </c>
      <c r="E104" s="25"/>
    </row>
    <row r="105" spans="1:5" x14ac:dyDescent="0.25">
      <c r="A105">
        <v>336</v>
      </c>
      <c r="B105" t="s">
        <v>153</v>
      </c>
      <c r="C105">
        <v>817</v>
      </c>
      <c r="D105" s="25">
        <f t="shared" si="8"/>
        <v>350.14285714285711</v>
      </c>
      <c r="E105" s="25"/>
    </row>
    <row r="106" spans="1:5" x14ac:dyDescent="0.25">
      <c r="A106">
        <v>384</v>
      </c>
      <c r="B106" t="s">
        <v>154</v>
      </c>
      <c r="C106">
        <v>922</v>
      </c>
      <c r="D106" s="25">
        <f t="shared" si="8"/>
        <v>345.75</v>
      </c>
      <c r="E106" s="25"/>
    </row>
    <row r="107" spans="1:5" x14ac:dyDescent="0.25">
      <c r="A107">
        <v>432</v>
      </c>
      <c r="B107" t="s">
        <v>155</v>
      </c>
      <c r="C107">
        <v>1050</v>
      </c>
      <c r="D107" s="25">
        <f t="shared" si="8"/>
        <v>350</v>
      </c>
      <c r="E107" s="25"/>
    </row>
    <row r="108" spans="1:5" x14ac:dyDescent="0.25">
      <c r="A108">
        <v>364</v>
      </c>
      <c r="B108" t="s">
        <v>156</v>
      </c>
      <c r="C108">
        <v>885</v>
      </c>
      <c r="D108" s="25">
        <f t="shared" si="8"/>
        <v>350.1098901098901</v>
      </c>
      <c r="E108" s="25"/>
    </row>
    <row r="109" spans="1:5" x14ac:dyDescent="0.25">
      <c r="A109">
        <v>416</v>
      </c>
      <c r="B109" t="s">
        <v>157</v>
      </c>
      <c r="C109">
        <v>1011</v>
      </c>
      <c r="D109" s="25">
        <f t="shared" si="8"/>
        <v>349.96153846153845</v>
      </c>
      <c r="E109" s="25"/>
    </row>
    <row r="110" spans="1:5" x14ac:dyDescent="0.25">
      <c r="A110">
        <v>468</v>
      </c>
      <c r="B110" t="s">
        <v>158</v>
      </c>
      <c r="C110">
        <v>1138</v>
      </c>
      <c r="D110" s="25">
        <f t="shared" si="8"/>
        <v>350.15384615384613</v>
      </c>
      <c r="E110" s="25"/>
    </row>
    <row r="111" spans="1:5" x14ac:dyDescent="0.25">
      <c r="A111">
        <v>224</v>
      </c>
      <c r="B111" t="s">
        <v>159</v>
      </c>
      <c r="C111">
        <v>544</v>
      </c>
      <c r="D111" s="25">
        <f t="shared" si="8"/>
        <v>349.71428571428572</v>
      </c>
      <c r="E111" s="25"/>
    </row>
    <row r="112" spans="1:5" x14ac:dyDescent="0.25">
      <c r="A112">
        <v>644</v>
      </c>
      <c r="B112" t="s">
        <v>160</v>
      </c>
      <c r="C112">
        <v>1565</v>
      </c>
      <c r="D112" s="25">
        <f t="shared" si="8"/>
        <v>349.93788819875778</v>
      </c>
      <c r="E112" s="25"/>
    </row>
    <row r="113" spans="1:5" x14ac:dyDescent="0.25">
      <c r="A113">
        <v>180</v>
      </c>
      <c r="B113" t="s">
        <v>161</v>
      </c>
      <c r="C113">
        <v>438</v>
      </c>
      <c r="D113" s="25">
        <f t="shared" si="8"/>
        <v>350.4</v>
      </c>
      <c r="E113" s="25"/>
    </row>
    <row r="114" spans="1:5" x14ac:dyDescent="0.25">
      <c r="A114">
        <v>240</v>
      </c>
      <c r="B114" t="s">
        <v>162</v>
      </c>
      <c r="C114">
        <v>583</v>
      </c>
      <c r="D114" s="25">
        <f t="shared" si="8"/>
        <v>349.8</v>
      </c>
      <c r="E114" s="25"/>
    </row>
    <row r="115" spans="1:5" x14ac:dyDescent="0.25">
      <c r="A115">
        <v>300</v>
      </c>
      <c r="B115" t="s">
        <v>163</v>
      </c>
      <c r="C115">
        <v>729</v>
      </c>
      <c r="D115" s="25">
        <f t="shared" si="8"/>
        <v>349.91999999999996</v>
      </c>
      <c r="E115" s="25"/>
    </row>
    <row r="116" spans="1:5" x14ac:dyDescent="0.25">
      <c r="A116">
        <v>360</v>
      </c>
      <c r="B116" t="s">
        <v>164</v>
      </c>
      <c r="C116">
        <v>875</v>
      </c>
      <c r="D116" s="25">
        <f t="shared" si="8"/>
        <v>350</v>
      </c>
      <c r="E116" s="25"/>
    </row>
    <row r="117" spans="1:5" x14ac:dyDescent="0.25">
      <c r="A117">
        <v>420</v>
      </c>
      <c r="B117" t="s">
        <v>165</v>
      </c>
      <c r="C117">
        <v>1021</v>
      </c>
      <c r="D117" s="25">
        <f t="shared" si="8"/>
        <v>350.05714285714288</v>
      </c>
      <c r="E117" s="25"/>
    </row>
    <row r="118" spans="1:5" x14ac:dyDescent="0.25">
      <c r="A118">
        <v>480</v>
      </c>
      <c r="B118" t="s">
        <v>166</v>
      </c>
      <c r="C118">
        <v>1167</v>
      </c>
      <c r="D118" s="25">
        <f t="shared" si="8"/>
        <v>350.09999999999997</v>
      </c>
      <c r="E118" s="25"/>
    </row>
    <row r="119" spans="1:5" x14ac:dyDescent="0.25">
      <c r="A119">
        <v>128</v>
      </c>
      <c r="B119" t="s">
        <v>167</v>
      </c>
      <c r="C119">
        <v>311</v>
      </c>
      <c r="D119" s="25">
        <f t="shared" si="8"/>
        <v>349.875</v>
      </c>
      <c r="E119" s="25"/>
    </row>
    <row r="120" spans="1:5" x14ac:dyDescent="0.25">
      <c r="A120">
        <v>256</v>
      </c>
      <c r="B120" t="s">
        <v>168</v>
      </c>
      <c r="C120">
        <v>622</v>
      </c>
      <c r="D120" s="25">
        <f t="shared" si="8"/>
        <v>349.875</v>
      </c>
      <c r="E120" s="25"/>
    </row>
    <row r="121" spans="1:5" x14ac:dyDescent="0.25">
      <c r="A121">
        <v>384</v>
      </c>
      <c r="B121" t="s">
        <v>169</v>
      </c>
      <c r="C121">
        <v>933</v>
      </c>
      <c r="D121" s="25">
        <f t="shared" si="8"/>
        <v>349.875</v>
      </c>
      <c r="E121" s="25"/>
    </row>
    <row r="122" spans="1:5" x14ac:dyDescent="0.25">
      <c r="A122">
        <v>640</v>
      </c>
      <c r="B122" t="s">
        <v>170</v>
      </c>
      <c r="C122">
        <v>1556</v>
      </c>
      <c r="D122" s="25">
        <f t="shared" si="8"/>
        <v>350.09999999999997</v>
      </c>
      <c r="E122" s="25"/>
    </row>
    <row r="123" spans="1:5" x14ac:dyDescent="0.25">
      <c r="A123">
        <v>272</v>
      </c>
      <c r="B123" t="s">
        <v>171</v>
      </c>
      <c r="C123">
        <v>661</v>
      </c>
      <c r="D123" s="25">
        <f t="shared" si="8"/>
        <v>349.94117647058823</v>
      </c>
      <c r="E123" s="25"/>
    </row>
    <row r="124" spans="1:5" x14ac:dyDescent="0.25">
      <c r="A124">
        <v>360</v>
      </c>
      <c r="B124" t="s">
        <v>172</v>
      </c>
      <c r="C124">
        <v>875</v>
      </c>
      <c r="D124" s="25">
        <f t="shared" si="8"/>
        <v>350</v>
      </c>
      <c r="E124" s="25"/>
    </row>
    <row r="125" spans="1:5" x14ac:dyDescent="0.25">
      <c r="A125">
        <v>432</v>
      </c>
      <c r="B125" t="s">
        <v>173</v>
      </c>
      <c r="C125">
        <v>1050</v>
      </c>
      <c r="D125" s="25">
        <f t="shared" si="8"/>
        <v>350</v>
      </c>
      <c r="E125" s="25"/>
    </row>
    <row r="126" spans="1:5" x14ac:dyDescent="0.25">
      <c r="A126">
        <v>504</v>
      </c>
      <c r="B126" t="s">
        <v>174</v>
      </c>
      <c r="C126">
        <v>1225</v>
      </c>
      <c r="D126" s="25">
        <f t="shared" si="8"/>
        <v>350</v>
      </c>
      <c r="E126" s="25"/>
    </row>
    <row r="127" spans="1:5" x14ac:dyDescent="0.25">
      <c r="A127">
        <v>608</v>
      </c>
      <c r="B127" t="s">
        <v>175</v>
      </c>
      <c r="C127">
        <v>1478</v>
      </c>
      <c r="D127" s="25">
        <f t="shared" si="8"/>
        <v>350.05263157894734</v>
      </c>
      <c r="E127" s="25"/>
    </row>
    <row r="128" spans="1:5" x14ac:dyDescent="0.25">
      <c r="A128">
        <v>800</v>
      </c>
      <c r="B128" t="s">
        <v>176</v>
      </c>
      <c r="C128">
        <v>1944</v>
      </c>
      <c r="D128" s="25">
        <f t="shared" si="8"/>
        <v>349.92</v>
      </c>
      <c r="E128" s="25"/>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00AB3-BB03-4B1D-95AF-7E06E974DDD8}">
  <dimension ref="A1:M131"/>
  <sheetViews>
    <sheetView workbookViewId="0">
      <pane ySplit="1" topLeftCell="A85" activePane="bottomLeft" state="frozen"/>
      <selection pane="bottomLeft" activeCell="A105" sqref="A105"/>
    </sheetView>
  </sheetViews>
  <sheetFormatPr defaultRowHeight="15" x14ac:dyDescent="0.25"/>
  <cols>
    <col min="1" max="1" width="40.5703125" bestFit="1" customWidth="1"/>
    <col min="2" max="2" width="10.7109375" customWidth="1"/>
    <col min="10" max="10" width="9.140625" customWidth="1"/>
  </cols>
  <sheetData>
    <row r="1" spans="1:13" s="17" customFormat="1" ht="45" x14ac:dyDescent="0.25">
      <c r="B1" s="17" t="s">
        <v>279</v>
      </c>
      <c r="C1" s="17" t="s">
        <v>280</v>
      </c>
      <c r="D1" s="17" t="s">
        <v>283</v>
      </c>
      <c r="E1" s="17" t="s">
        <v>282</v>
      </c>
      <c r="F1" s="17" t="s">
        <v>285</v>
      </c>
      <c r="G1" s="17" t="s">
        <v>279</v>
      </c>
      <c r="H1" s="17" t="s">
        <v>280</v>
      </c>
      <c r="I1" s="17" t="s">
        <v>281</v>
      </c>
      <c r="J1" s="17" t="s">
        <v>330</v>
      </c>
      <c r="K1" s="17" t="s">
        <v>311</v>
      </c>
      <c r="L1" s="17" t="s">
        <v>312</v>
      </c>
    </row>
    <row r="2" spans="1:13" s="26" customFormat="1" x14ac:dyDescent="0.25">
      <c r="A2" s="19" t="s">
        <v>186</v>
      </c>
      <c r="M2" t="s">
        <v>295</v>
      </c>
    </row>
    <row r="3" spans="1:13" x14ac:dyDescent="0.25">
      <c r="A3" t="s">
        <v>187</v>
      </c>
      <c r="B3">
        <v>5</v>
      </c>
      <c r="C3">
        <v>2.5</v>
      </c>
      <c r="D3">
        <v>0.12</v>
      </c>
      <c r="E3">
        <v>0.6</v>
      </c>
      <c r="F3">
        <v>25</v>
      </c>
      <c r="G3">
        <v>10</v>
      </c>
      <c r="H3">
        <v>4.9000000000000004</v>
      </c>
      <c r="I3">
        <v>2</v>
      </c>
      <c r="J3">
        <v>12</v>
      </c>
      <c r="K3" s="29">
        <f>B3*F3*60/(1000*J3)</f>
        <v>0.625</v>
      </c>
      <c r="L3" s="29">
        <f>G3*F3*60/(1000*J3)</f>
        <v>1.25</v>
      </c>
      <c r="M3" t="s">
        <v>313</v>
      </c>
    </row>
    <row r="4" spans="1:13" x14ac:dyDescent="0.25">
      <c r="A4" t="s">
        <v>188</v>
      </c>
      <c r="B4">
        <v>5</v>
      </c>
      <c r="C4">
        <v>2.5</v>
      </c>
      <c r="D4">
        <v>0.06</v>
      </c>
      <c r="E4">
        <v>0.3</v>
      </c>
      <c r="F4">
        <v>30</v>
      </c>
      <c r="G4">
        <v>7</v>
      </c>
      <c r="H4">
        <v>3.5</v>
      </c>
      <c r="I4">
        <v>1</v>
      </c>
      <c r="J4">
        <v>8</v>
      </c>
      <c r="K4" s="29">
        <f t="shared" ref="K4:K6" si="0">B4*F4*60/(1000*J4)</f>
        <v>1.125</v>
      </c>
      <c r="L4" s="29">
        <f t="shared" ref="L4:L6" si="1">G4*F4*60/(1000*J4)</f>
        <v>1.575</v>
      </c>
    </row>
    <row r="5" spans="1:13" x14ac:dyDescent="0.25">
      <c r="A5" t="s">
        <v>189</v>
      </c>
      <c r="B5">
        <v>5</v>
      </c>
      <c r="C5">
        <v>2.5</v>
      </c>
      <c r="D5">
        <v>0.06</v>
      </c>
      <c r="E5">
        <v>0.3</v>
      </c>
      <c r="F5">
        <v>15</v>
      </c>
      <c r="G5">
        <v>9</v>
      </c>
      <c r="H5">
        <v>4.5</v>
      </c>
      <c r="I5">
        <v>1</v>
      </c>
      <c r="J5">
        <v>8</v>
      </c>
      <c r="K5" s="29">
        <f t="shared" si="0"/>
        <v>0.5625</v>
      </c>
      <c r="L5" s="29">
        <f t="shared" si="1"/>
        <v>1.0125</v>
      </c>
    </row>
    <row r="6" spans="1:13" x14ac:dyDescent="0.25">
      <c r="A6" t="s">
        <v>190</v>
      </c>
      <c r="B6">
        <v>7.5</v>
      </c>
      <c r="C6">
        <v>3.8</v>
      </c>
      <c r="D6">
        <v>0.06</v>
      </c>
      <c r="E6">
        <v>0.3</v>
      </c>
      <c r="F6">
        <v>50</v>
      </c>
      <c r="G6">
        <v>9</v>
      </c>
      <c r="H6">
        <v>4.4000000000000004</v>
      </c>
      <c r="I6">
        <v>2</v>
      </c>
      <c r="J6">
        <v>8</v>
      </c>
      <c r="K6" s="29">
        <f t="shared" si="0"/>
        <v>2.8125</v>
      </c>
      <c r="L6" s="29">
        <f t="shared" si="1"/>
        <v>3.375</v>
      </c>
    </row>
    <row r="8" spans="1:13" x14ac:dyDescent="0.25">
      <c r="A8" s="19" t="s">
        <v>191</v>
      </c>
    </row>
    <row r="9" spans="1:13" x14ac:dyDescent="0.25">
      <c r="A9" t="s">
        <v>192</v>
      </c>
      <c r="B9">
        <v>10</v>
      </c>
      <c r="C9">
        <v>5</v>
      </c>
      <c r="D9">
        <v>0.18</v>
      </c>
      <c r="E9">
        <v>0.9</v>
      </c>
      <c r="F9">
        <v>25</v>
      </c>
      <c r="G9">
        <v>17</v>
      </c>
      <c r="H9">
        <v>8.6</v>
      </c>
      <c r="I9">
        <v>2</v>
      </c>
      <c r="J9">
        <v>8</v>
      </c>
      <c r="K9" s="29">
        <f t="shared" ref="K9:K23" si="2">B9*F9*60/(1000*J9)</f>
        <v>1.875</v>
      </c>
      <c r="L9" s="29">
        <f t="shared" ref="L9:L23" si="3">G9*F9*60/(1000*J9)</f>
        <v>3.1875</v>
      </c>
    </row>
    <row r="10" spans="1:13" x14ac:dyDescent="0.25">
      <c r="A10" t="s">
        <v>193</v>
      </c>
      <c r="B10">
        <v>10</v>
      </c>
      <c r="C10">
        <v>5</v>
      </c>
      <c r="D10">
        <v>0.18</v>
      </c>
      <c r="E10">
        <v>0.9</v>
      </c>
      <c r="F10">
        <v>25</v>
      </c>
      <c r="G10">
        <v>17</v>
      </c>
      <c r="H10">
        <v>8.6</v>
      </c>
      <c r="I10">
        <v>3</v>
      </c>
      <c r="J10">
        <v>8</v>
      </c>
      <c r="K10" s="29">
        <f t="shared" si="2"/>
        <v>1.875</v>
      </c>
      <c r="L10" s="29">
        <f t="shared" si="3"/>
        <v>3.1875</v>
      </c>
    </row>
    <row r="11" spans="1:13" x14ac:dyDescent="0.25">
      <c r="A11" t="s">
        <v>194</v>
      </c>
      <c r="B11">
        <v>10</v>
      </c>
      <c r="C11">
        <v>5</v>
      </c>
      <c r="D11">
        <v>0.12</v>
      </c>
      <c r="E11">
        <v>0.6</v>
      </c>
      <c r="F11">
        <v>25</v>
      </c>
      <c r="G11">
        <v>15</v>
      </c>
      <c r="H11">
        <v>7.4</v>
      </c>
      <c r="I11">
        <v>1</v>
      </c>
      <c r="J11">
        <v>8</v>
      </c>
      <c r="K11" s="29">
        <f t="shared" si="2"/>
        <v>1.875</v>
      </c>
      <c r="L11" s="29">
        <f t="shared" si="3"/>
        <v>2.8125</v>
      </c>
    </row>
    <row r="12" spans="1:13" x14ac:dyDescent="0.25">
      <c r="A12" t="s">
        <v>195</v>
      </c>
      <c r="B12">
        <v>10</v>
      </c>
      <c r="C12">
        <v>5</v>
      </c>
      <c r="D12">
        <v>0.12</v>
      </c>
      <c r="E12">
        <v>0.6</v>
      </c>
      <c r="F12">
        <v>35</v>
      </c>
      <c r="G12">
        <v>13</v>
      </c>
      <c r="H12">
        <v>6.7</v>
      </c>
      <c r="I12">
        <v>1</v>
      </c>
      <c r="J12">
        <v>8</v>
      </c>
      <c r="K12" s="29">
        <f t="shared" si="2"/>
        <v>2.625</v>
      </c>
      <c r="L12" s="29">
        <f t="shared" si="3"/>
        <v>3.4125000000000001</v>
      </c>
    </row>
    <row r="13" spans="1:13" x14ac:dyDescent="0.25">
      <c r="A13" t="s">
        <v>196</v>
      </c>
      <c r="B13">
        <v>7.5</v>
      </c>
      <c r="C13">
        <v>3.8</v>
      </c>
      <c r="D13">
        <v>0.06</v>
      </c>
      <c r="E13">
        <v>0.3</v>
      </c>
      <c r="F13">
        <v>65</v>
      </c>
      <c r="G13">
        <v>8</v>
      </c>
      <c r="H13">
        <v>4.3</v>
      </c>
      <c r="I13">
        <v>1</v>
      </c>
      <c r="J13">
        <v>12</v>
      </c>
      <c r="K13" s="29">
        <f t="shared" si="2"/>
        <v>2.4375</v>
      </c>
      <c r="L13" s="29">
        <f t="shared" si="3"/>
        <v>2.6</v>
      </c>
    </row>
    <row r="14" spans="1:13" x14ac:dyDescent="0.25">
      <c r="A14" t="s">
        <v>197</v>
      </c>
      <c r="B14">
        <v>7.5</v>
      </c>
      <c r="C14">
        <v>3.8</v>
      </c>
      <c r="D14">
        <v>0.06</v>
      </c>
      <c r="E14">
        <v>0.3</v>
      </c>
      <c r="F14">
        <v>150</v>
      </c>
      <c r="G14">
        <v>8</v>
      </c>
      <c r="H14">
        <v>4</v>
      </c>
      <c r="I14">
        <v>1</v>
      </c>
      <c r="J14">
        <v>8</v>
      </c>
      <c r="K14" s="29">
        <f t="shared" si="2"/>
        <v>8.4375</v>
      </c>
      <c r="L14" s="29">
        <f t="shared" si="3"/>
        <v>9</v>
      </c>
    </row>
    <row r="15" spans="1:13" x14ac:dyDescent="0.25">
      <c r="A15" t="s">
        <v>198</v>
      </c>
      <c r="B15">
        <v>10</v>
      </c>
      <c r="C15">
        <v>5</v>
      </c>
      <c r="D15">
        <v>0.18</v>
      </c>
      <c r="E15">
        <v>0.9</v>
      </c>
      <c r="F15">
        <v>20</v>
      </c>
      <c r="G15">
        <v>19</v>
      </c>
      <c r="H15">
        <v>9.5</v>
      </c>
      <c r="I15">
        <v>2</v>
      </c>
      <c r="J15">
        <v>8</v>
      </c>
      <c r="K15" s="29">
        <f t="shared" si="2"/>
        <v>1.5</v>
      </c>
      <c r="L15" s="29">
        <f t="shared" si="3"/>
        <v>2.85</v>
      </c>
    </row>
    <row r="16" spans="1:13" x14ac:dyDescent="0.25">
      <c r="A16" t="s">
        <v>199</v>
      </c>
      <c r="B16">
        <v>10</v>
      </c>
      <c r="C16">
        <v>5</v>
      </c>
      <c r="D16">
        <v>0.18</v>
      </c>
      <c r="E16">
        <v>0.9</v>
      </c>
      <c r="F16">
        <v>25</v>
      </c>
      <c r="G16">
        <v>17</v>
      </c>
      <c r="H16">
        <v>8.6</v>
      </c>
      <c r="I16">
        <v>2</v>
      </c>
      <c r="J16">
        <v>8</v>
      </c>
      <c r="K16" s="29">
        <f t="shared" si="2"/>
        <v>1.875</v>
      </c>
      <c r="L16" s="29">
        <f t="shared" si="3"/>
        <v>3.1875</v>
      </c>
    </row>
    <row r="17" spans="1:12" x14ac:dyDescent="0.25">
      <c r="A17" t="s">
        <v>200</v>
      </c>
      <c r="B17">
        <v>10</v>
      </c>
      <c r="C17">
        <v>5</v>
      </c>
      <c r="D17">
        <v>0.18</v>
      </c>
      <c r="E17">
        <v>0.9</v>
      </c>
      <c r="F17">
        <v>25</v>
      </c>
      <c r="G17">
        <v>17</v>
      </c>
      <c r="H17">
        <v>8.6</v>
      </c>
      <c r="I17">
        <v>2</v>
      </c>
      <c r="J17">
        <v>8</v>
      </c>
      <c r="K17" s="29">
        <f t="shared" si="2"/>
        <v>1.875</v>
      </c>
      <c r="L17" s="29">
        <f t="shared" si="3"/>
        <v>3.1875</v>
      </c>
    </row>
    <row r="18" spans="1:12" x14ac:dyDescent="0.25">
      <c r="A18" t="s">
        <v>201</v>
      </c>
      <c r="B18">
        <v>10</v>
      </c>
      <c r="C18">
        <v>5</v>
      </c>
      <c r="D18">
        <v>0.18</v>
      </c>
      <c r="E18">
        <v>0.9</v>
      </c>
      <c r="F18">
        <v>20</v>
      </c>
      <c r="G18">
        <v>19</v>
      </c>
      <c r="H18">
        <v>9.5</v>
      </c>
      <c r="I18">
        <v>2</v>
      </c>
      <c r="J18">
        <v>12</v>
      </c>
      <c r="K18" s="29">
        <f t="shared" si="2"/>
        <v>1</v>
      </c>
      <c r="L18" s="29">
        <f t="shared" si="3"/>
        <v>1.9</v>
      </c>
    </row>
    <row r="19" spans="1:12" x14ac:dyDescent="0.25">
      <c r="A19" t="s">
        <v>202</v>
      </c>
      <c r="B19">
        <v>10</v>
      </c>
      <c r="C19">
        <v>5</v>
      </c>
      <c r="D19">
        <v>0.12</v>
      </c>
      <c r="E19">
        <v>0.6</v>
      </c>
      <c r="F19">
        <v>25</v>
      </c>
      <c r="G19">
        <v>15</v>
      </c>
      <c r="H19">
        <v>7.4</v>
      </c>
      <c r="I19">
        <v>1</v>
      </c>
      <c r="J19">
        <v>8</v>
      </c>
      <c r="K19" s="29">
        <f t="shared" si="2"/>
        <v>1.875</v>
      </c>
      <c r="L19" s="29">
        <f t="shared" si="3"/>
        <v>2.8125</v>
      </c>
    </row>
    <row r="20" spans="1:12" x14ac:dyDescent="0.25">
      <c r="A20" t="s">
        <v>203</v>
      </c>
      <c r="B20">
        <v>10</v>
      </c>
      <c r="C20">
        <v>5</v>
      </c>
      <c r="D20">
        <v>0.12</v>
      </c>
      <c r="E20" t="s">
        <v>204</v>
      </c>
      <c r="F20">
        <v>25</v>
      </c>
      <c r="G20">
        <v>15</v>
      </c>
      <c r="H20">
        <v>7.4</v>
      </c>
      <c r="I20">
        <v>1</v>
      </c>
      <c r="J20">
        <v>8</v>
      </c>
      <c r="K20" s="29">
        <f t="shared" si="2"/>
        <v>1.875</v>
      </c>
      <c r="L20" s="29">
        <f t="shared" si="3"/>
        <v>2.8125</v>
      </c>
    </row>
    <row r="21" spans="1:12" x14ac:dyDescent="0.25">
      <c r="A21" t="s">
        <v>205</v>
      </c>
      <c r="B21">
        <v>10</v>
      </c>
      <c r="C21">
        <v>5</v>
      </c>
      <c r="D21">
        <v>0.06</v>
      </c>
      <c r="E21">
        <v>0.3</v>
      </c>
      <c r="F21">
        <v>35</v>
      </c>
      <c r="G21">
        <v>12</v>
      </c>
      <c r="H21">
        <v>5.9</v>
      </c>
      <c r="I21">
        <v>1</v>
      </c>
      <c r="J21">
        <v>12</v>
      </c>
      <c r="K21" s="29">
        <f t="shared" si="2"/>
        <v>1.75</v>
      </c>
      <c r="L21" s="29">
        <f t="shared" si="3"/>
        <v>2.1</v>
      </c>
    </row>
    <row r="22" spans="1:12" x14ac:dyDescent="0.25">
      <c r="A22" t="s">
        <v>206</v>
      </c>
      <c r="B22">
        <v>7.5</v>
      </c>
      <c r="C22">
        <v>3.8</v>
      </c>
      <c r="D22">
        <v>0.06</v>
      </c>
      <c r="E22">
        <v>0.3</v>
      </c>
      <c r="F22">
        <v>100</v>
      </c>
      <c r="G22">
        <v>8</v>
      </c>
      <c r="H22">
        <v>4.0999999999999996</v>
      </c>
      <c r="I22">
        <v>1</v>
      </c>
      <c r="J22">
        <v>12</v>
      </c>
      <c r="K22" s="29">
        <f t="shared" si="2"/>
        <v>3.75</v>
      </c>
      <c r="L22" s="29">
        <f t="shared" si="3"/>
        <v>4</v>
      </c>
    </row>
    <row r="23" spans="1:12" x14ac:dyDescent="0.25">
      <c r="A23" t="s">
        <v>207</v>
      </c>
      <c r="B23">
        <v>7.5</v>
      </c>
      <c r="C23">
        <v>3.8</v>
      </c>
      <c r="D23">
        <v>0.18</v>
      </c>
      <c r="E23">
        <v>0.9</v>
      </c>
      <c r="F23">
        <v>70</v>
      </c>
      <c r="G23">
        <v>10</v>
      </c>
      <c r="H23">
        <v>5.0999999999999996</v>
      </c>
      <c r="I23">
        <v>2</v>
      </c>
      <c r="J23">
        <v>12</v>
      </c>
      <c r="K23" s="29">
        <f t="shared" si="2"/>
        <v>2.625</v>
      </c>
      <c r="L23" s="29">
        <f t="shared" si="3"/>
        <v>3.5</v>
      </c>
    </row>
    <row r="25" spans="1:12" x14ac:dyDescent="0.25">
      <c r="A25" s="19" t="s">
        <v>208</v>
      </c>
    </row>
    <row r="26" spans="1:12" x14ac:dyDescent="0.25">
      <c r="A26" t="s">
        <v>209</v>
      </c>
      <c r="B26">
        <v>7.5</v>
      </c>
      <c r="C26">
        <v>3.8</v>
      </c>
      <c r="D26">
        <v>0.18</v>
      </c>
      <c r="E26">
        <v>0.9</v>
      </c>
      <c r="F26">
        <v>100</v>
      </c>
      <c r="G26">
        <v>9</v>
      </c>
      <c r="H26">
        <v>4.7</v>
      </c>
      <c r="I26">
        <v>2</v>
      </c>
      <c r="J26">
        <v>12</v>
      </c>
      <c r="K26" s="29">
        <f t="shared" ref="K26:K29" si="4">B26*F26*60/(1000*J26)</f>
        <v>3.75</v>
      </c>
      <c r="L26" s="29">
        <f t="shared" ref="L26:L29" si="5">G26*F26*60/(1000*J26)</f>
        <v>4.5</v>
      </c>
    </row>
    <row r="27" spans="1:12" x14ac:dyDescent="0.25">
      <c r="A27" t="s">
        <v>210</v>
      </c>
      <c r="B27">
        <v>7.5</v>
      </c>
      <c r="C27">
        <v>3.8</v>
      </c>
      <c r="D27">
        <v>0.18</v>
      </c>
      <c r="E27">
        <v>0.9</v>
      </c>
      <c r="F27">
        <v>100</v>
      </c>
      <c r="G27">
        <v>9</v>
      </c>
      <c r="H27">
        <v>4.7</v>
      </c>
      <c r="I27">
        <v>2</v>
      </c>
      <c r="J27">
        <v>12</v>
      </c>
      <c r="K27" s="29">
        <f t="shared" si="4"/>
        <v>3.75</v>
      </c>
      <c r="L27" s="29">
        <f t="shared" si="5"/>
        <v>4.5</v>
      </c>
    </row>
    <row r="28" spans="1:12" x14ac:dyDescent="0.25">
      <c r="A28" t="s">
        <v>211</v>
      </c>
      <c r="B28">
        <v>7.5</v>
      </c>
      <c r="C28">
        <v>3.8</v>
      </c>
      <c r="D28">
        <v>0.12</v>
      </c>
      <c r="E28">
        <v>0.6</v>
      </c>
      <c r="F28">
        <v>20</v>
      </c>
      <c r="G28">
        <v>14</v>
      </c>
      <c r="H28">
        <v>7</v>
      </c>
      <c r="I28">
        <v>2</v>
      </c>
      <c r="J28">
        <v>12</v>
      </c>
      <c r="K28" s="29">
        <f t="shared" si="4"/>
        <v>0.75</v>
      </c>
      <c r="L28" s="29">
        <f t="shared" si="5"/>
        <v>1.4</v>
      </c>
    </row>
    <row r="29" spans="1:12" x14ac:dyDescent="0.25">
      <c r="A29" t="s">
        <v>212</v>
      </c>
      <c r="B29">
        <v>5</v>
      </c>
      <c r="C29">
        <v>2.5</v>
      </c>
      <c r="D29">
        <v>0.06</v>
      </c>
      <c r="E29">
        <v>0.3</v>
      </c>
      <c r="F29">
        <v>25</v>
      </c>
      <c r="G29">
        <v>10</v>
      </c>
      <c r="H29">
        <v>5.0999999999999996</v>
      </c>
      <c r="I29">
        <v>1</v>
      </c>
      <c r="J29">
        <v>12</v>
      </c>
      <c r="K29" s="29">
        <f t="shared" si="4"/>
        <v>0.625</v>
      </c>
      <c r="L29" s="29">
        <f t="shared" si="5"/>
        <v>1.25</v>
      </c>
    </row>
    <row r="31" spans="1:12" x14ac:dyDescent="0.25">
      <c r="A31" s="19" t="s">
        <v>213</v>
      </c>
    </row>
    <row r="32" spans="1:12" x14ac:dyDescent="0.25">
      <c r="A32" t="s">
        <v>214</v>
      </c>
      <c r="B32">
        <v>5</v>
      </c>
      <c r="C32">
        <v>2.5</v>
      </c>
      <c r="D32">
        <v>0.06</v>
      </c>
      <c r="E32">
        <v>0.3</v>
      </c>
      <c r="F32">
        <v>20</v>
      </c>
      <c r="G32">
        <v>11</v>
      </c>
      <c r="H32">
        <v>5.5</v>
      </c>
      <c r="I32">
        <v>1</v>
      </c>
      <c r="J32">
        <v>8</v>
      </c>
      <c r="K32" s="29">
        <f t="shared" ref="K32:K35" si="6">B32*F32*60/(1000*J32)</f>
        <v>0.75</v>
      </c>
      <c r="L32" s="29">
        <f t="shared" ref="L32:L35" si="7">G32*F32*60/(1000*J32)</f>
        <v>1.65</v>
      </c>
    </row>
    <row r="33" spans="1:12" x14ac:dyDescent="0.25">
      <c r="A33" t="s">
        <v>215</v>
      </c>
      <c r="B33">
        <v>5</v>
      </c>
      <c r="C33">
        <v>2.5</v>
      </c>
      <c r="D33">
        <v>0.06</v>
      </c>
      <c r="E33">
        <v>0.3</v>
      </c>
      <c r="F33">
        <v>50</v>
      </c>
      <c r="G33">
        <v>6</v>
      </c>
      <c r="H33">
        <v>3.1</v>
      </c>
      <c r="I33">
        <v>1</v>
      </c>
      <c r="J33">
        <v>12</v>
      </c>
      <c r="K33" s="29">
        <f t="shared" si="6"/>
        <v>1.25</v>
      </c>
      <c r="L33" s="29">
        <f t="shared" si="7"/>
        <v>1.5</v>
      </c>
    </row>
    <row r="34" spans="1:12" x14ac:dyDescent="0.25">
      <c r="A34" t="s">
        <v>216</v>
      </c>
      <c r="B34" t="s">
        <v>217</v>
      </c>
      <c r="C34" t="s">
        <v>217</v>
      </c>
      <c r="D34">
        <v>0.06</v>
      </c>
      <c r="E34">
        <v>0.3</v>
      </c>
      <c r="F34" t="s">
        <v>217</v>
      </c>
      <c r="I34">
        <v>1</v>
      </c>
      <c r="J34">
        <v>12</v>
      </c>
      <c r="K34" s="29" t="e">
        <f t="shared" si="6"/>
        <v>#VALUE!</v>
      </c>
      <c r="L34" s="29" t="e">
        <f t="shared" si="7"/>
        <v>#VALUE!</v>
      </c>
    </row>
    <row r="35" spans="1:12" x14ac:dyDescent="0.25">
      <c r="A35" t="s">
        <v>218</v>
      </c>
      <c r="B35">
        <v>5</v>
      </c>
      <c r="C35">
        <v>2.5</v>
      </c>
      <c r="D35">
        <v>0.12</v>
      </c>
      <c r="E35" t="s">
        <v>219</v>
      </c>
      <c r="F35">
        <v>2</v>
      </c>
      <c r="G35">
        <v>65</v>
      </c>
      <c r="H35">
        <v>32.5</v>
      </c>
      <c r="I35">
        <v>2</v>
      </c>
      <c r="J35">
        <v>8</v>
      </c>
      <c r="K35" s="29">
        <f t="shared" si="6"/>
        <v>7.4999999999999997E-2</v>
      </c>
      <c r="L35" s="29">
        <f t="shared" si="7"/>
        <v>0.97499999999999998</v>
      </c>
    </row>
    <row r="37" spans="1:12" x14ac:dyDescent="0.25">
      <c r="A37" s="19" t="s">
        <v>284</v>
      </c>
    </row>
    <row r="38" spans="1:12" x14ac:dyDescent="0.25">
      <c r="A38" t="s">
        <v>220</v>
      </c>
      <c r="B38">
        <v>5</v>
      </c>
      <c r="C38">
        <v>2.5</v>
      </c>
      <c r="D38">
        <v>0.06</v>
      </c>
      <c r="E38">
        <v>0.3</v>
      </c>
      <c r="F38">
        <v>10</v>
      </c>
      <c r="G38">
        <v>11</v>
      </c>
      <c r="H38">
        <v>5.5</v>
      </c>
      <c r="I38">
        <v>1</v>
      </c>
      <c r="J38">
        <v>8</v>
      </c>
      <c r="K38" s="29">
        <f t="shared" ref="K38:K43" si="8">B38*F38*60/(1000*J38)</f>
        <v>0.375</v>
      </c>
      <c r="L38" s="29">
        <f t="shared" ref="L38:L43" si="9">G38*F38*60/(1000*J38)</f>
        <v>0.82499999999999996</v>
      </c>
    </row>
    <row r="39" spans="1:12" x14ac:dyDescent="0.25">
      <c r="A39" t="s">
        <v>221</v>
      </c>
      <c r="B39">
        <v>5</v>
      </c>
      <c r="C39">
        <v>2.5</v>
      </c>
      <c r="D39">
        <v>0.06</v>
      </c>
      <c r="E39">
        <v>0.3</v>
      </c>
      <c r="F39">
        <v>20</v>
      </c>
      <c r="G39">
        <v>8</v>
      </c>
      <c r="H39">
        <v>4</v>
      </c>
      <c r="I39">
        <v>1</v>
      </c>
      <c r="J39">
        <v>8</v>
      </c>
      <c r="K39" s="29">
        <f t="shared" si="8"/>
        <v>0.75</v>
      </c>
      <c r="L39" s="29">
        <f t="shared" si="9"/>
        <v>1.2</v>
      </c>
    </row>
    <row r="40" spans="1:12" x14ac:dyDescent="0.25">
      <c r="A40" t="s">
        <v>222</v>
      </c>
      <c r="B40">
        <v>5</v>
      </c>
      <c r="C40">
        <v>2.5</v>
      </c>
      <c r="D40">
        <v>0.12</v>
      </c>
      <c r="E40">
        <v>0.6</v>
      </c>
      <c r="F40">
        <v>10</v>
      </c>
      <c r="G40">
        <v>17</v>
      </c>
      <c r="H40">
        <v>8.5</v>
      </c>
      <c r="I40">
        <v>2</v>
      </c>
      <c r="J40">
        <v>8</v>
      </c>
      <c r="K40" s="29">
        <f t="shared" si="8"/>
        <v>0.375</v>
      </c>
      <c r="L40" s="29">
        <f t="shared" si="9"/>
        <v>1.2749999999999999</v>
      </c>
    </row>
    <row r="41" spans="1:12" x14ac:dyDescent="0.25">
      <c r="A41" t="s">
        <v>223</v>
      </c>
      <c r="B41">
        <v>5</v>
      </c>
      <c r="C41">
        <v>2.5</v>
      </c>
      <c r="D41">
        <v>0.12</v>
      </c>
      <c r="E41">
        <v>0.6</v>
      </c>
      <c r="F41">
        <v>10</v>
      </c>
      <c r="G41">
        <v>17</v>
      </c>
      <c r="H41">
        <v>8.5</v>
      </c>
      <c r="I41">
        <v>1</v>
      </c>
      <c r="J41">
        <v>8</v>
      </c>
      <c r="K41" s="29">
        <f t="shared" si="8"/>
        <v>0.375</v>
      </c>
      <c r="L41" s="29">
        <f t="shared" si="9"/>
        <v>1.2749999999999999</v>
      </c>
    </row>
    <row r="42" spans="1:12" x14ac:dyDescent="0.25">
      <c r="A42" t="s">
        <v>224</v>
      </c>
      <c r="B42">
        <v>7.5</v>
      </c>
      <c r="C42">
        <v>3.8</v>
      </c>
      <c r="D42">
        <v>0.06</v>
      </c>
      <c r="E42">
        <v>0.3</v>
      </c>
      <c r="F42">
        <v>30</v>
      </c>
      <c r="G42">
        <v>10</v>
      </c>
      <c r="H42">
        <v>4.8</v>
      </c>
      <c r="I42">
        <v>1</v>
      </c>
      <c r="J42">
        <v>8</v>
      </c>
      <c r="K42" s="29">
        <f t="shared" si="8"/>
        <v>1.6875</v>
      </c>
      <c r="L42" s="29">
        <f t="shared" si="9"/>
        <v>2.25</v>
      </c>
    </row>
    <row r="43" spans="1:12" x14ac:dyDescent="0.25">
      <c r="A43" t="s">
        <v>225</v>
      </c>
      <c r="B43">
        <v>5</v>
      </c>
      <c r="C43">
        <v>2.5</v>
      </c>
      <c r="D43">
        <v>0.06</v>
      </c>
      <c r="E43">
        <v>0.3</v>
      </c>
      <c r="F43">
        <v>120</v>
      </c>
      <c r="G43">
        <v>6</v>
      </c>
      <c r="H43">
        <v>2.8</v>
      </c>
      <c r="I43">
        <v>1</v>
      </c>
      <c r="J43">
        <v>12</v>
      </c>
      <c r="K43" s="29">
        <f t="shared" si="8"/>
        <v>3</v>
      </c>
      <c r="L43" s="29">
        <f t="shared" si="9"/>
        <v>3.6</v>
      </c>
    </row>
    <row r="45" spans="1:12" x14ac:dyDescent="0.25">
      <c r="A45" s="19" t="s">
        <v>226</v>
      </c>
    </row>
    <row r="46" spans="1:12" x14ac:dyDescent="0.25">
      <c r="A46" t="s">
        <v>227</v>
      </c>
      <c r="B46">
        <v>5</v>
      </c>
      <c r="C46">
        <v>2.5</v>
      </c>
      <c r="D46">
        <v>0.12</v>
      </c>
      <c r="E46">
        <v>0.6</v>
      </c>
      <c r="F46">
        <v>50</v>
      </c>
      <c r="G46">
        <v>7</v>
      </c>
      <c r="H46">
        <v>3.5</v>
      </c>
      <c r="J46">
        <v>12</v>
      </c>
      <c r="K46" s="29">
        <f t="shared" ref="K46:K52" si="10">B46*F46*60/(1000*J46)</f>
        <v>1.25</v>
      </c>
      <c r="L46" s="29">
        <f t="shared" ref="L46:L52" si="11">G46*F46*60/(1000*J46)</f>
        <v>1.75</v>
      </c>
    </row>
    <row r="47" spans="1:12" x14ac:dyDescent="0.25">
      <c r="A47" t="s">
        <v>228</v>
      </c>
      <c r="B47">
        <v>5</v>
      </c>
      <c r="C47">
        <v>2.5</v>
      </c>
      <c r="D47">
        <v>0.06</v>
      </c>
      <c r="E47">
        <v>0.3</v>
      </c>
      <c r="F47">
        <v>10</v>
      </c>
      <c r="G47">
        <v>11</v>
      </c>
      <c r="H47">
        <v>5.5</v>
      </c>
      <c r="J47">
        <v>12</v>
      </c>
      <c r="K47" s="29">
        <f t="shared" si="10"/>
        <v>0.25</v>
      </c>
      <c r="L47" s="29">
        <f t="shared" si="11"/>
        <v>0.55000000000000004</v>
      </c>
    </row>
    <row r="48" spans="1:12" x14ac:dyDescent="0.25">
      <c r="A48" t="s">
        <v>229</v>
      </c>
      <c r="B48">
        <v>5</v>
      </c>
      <c r="C48">
        <v>2.5</v>
      </c>
      <c r="D48">
        <v>0.06</v>
      </c>
      <c r="E48">
        <v>0.3</v>
      </c>
      <c r="F48">
        <v>2</v>
      </c>
      <c r="G48">
        <v>35</v>
      </c>
      <c r="H48">
        <v>17.5</v>
      </c>
      <c r="J48">
        <v>8</v>
      </c>
      <c r="K48" s="29">
        <f t="shared" si="10"/>
        <v>7.4999999999999997E-2</v>
      </c>
      <c r="L48" s="29">
        <f t="shared" si="11"/>
        <v>0.52500000000000002</v>
      </c>
    </row>
    <row r="49" spans="1:12" x14ac:dyDescent="0.25">
      <c r="A49" t="s">
        <v>230</v>
      </c>
      <c r="B49">
        <v>5</v>
      </c>
      <c r="C49">
        <v>2.5</v>
      </c>
      <c r="D49">
        <v>0.06</v>
      </c>
      <c r="E49">
        <v>0.3</v>
      </c>
      <c r="F49">
        <v>5</v>
      </c>
      <c r="G49">
        <v>17</v>
      </c>
      <c r="H49">
        <v>8.5</v>
      </c>
      <c r="J49">
        <v>8</v>
      </c>
      <c r="K49" s="29">
        <f t="shared" si="10"/>
        <v>0.1875</v>
      </c>
      <c r="L49" s="29">
        <f t="shared" si="11"/>
        <v>0.63749999999999996</v>
      </c>
    </row>
    <row r="50" spans="1:12" x14ac:dyDescent="0.25">
      <c r="A50" t="s">
        <v>231</v>
      </c>
      <c r="B50">
        <v>5</v>
      </c>
      <c r="C50">
        <v>2.5</v>
      </c>
      <c r="D50">
        <v>0.06</v>
      </c>
      <c r="E50">
        <v>0.3</v>
      </c>
      <c r="F50">
        <v>30</v>
      </c>
      <c r="G50">
        <v>7</v>
      </c>
      <c r="H50">
        <v>3.5</v>
      </c>
      <c r="J50">
        <v>8</v>
      </c>
      <c r="K50" s="29">
        <f t="shared" si="10"/>
        <v>1.125</v>
      </c>
      <c r="L50" s="29">
        <f t="shared" si="11"/>
        <v>1.575</v>
      </c>
    </row>
    <row r="51" spans="1:12" x14ac:dyDescent="0.25">
      <c r="A51" t="s">
        <v>232</v>
      </c>
      <c r="B51">
        <v>5</v>
      </c>
      <c r="C51">
        <v>2.5</v>
      </c>
      <c r="D51">
        <v>0.06</v>
      </c>
      <c r="E51">
        <v>0.3</v>
      </c>
      <c r="F51">
        <v>60</v>
      </c>
      <c r="G51">
        <v>6</v>
      </c>
      <c r="H51">
        <v>3</v>
      </c>
      <c r="J51">
        <v>8</v>
      </c>
      <c r="K51" s="29">
        <f t="shared" si="10"/>
        <v>2.25</v>
      </c>
      <c r="L51" s="29">
        <f t="shared" si="11"/>
        <v>2.7</v>
      </c>
    </row>
    <row r="52" spans="1:12" x14ac:dyDescent="0.25">
      <c r="A52" t="s">
        <v>233</v>
      </c>
      <c r="B52">
        <v>5</v>
      </c>
      <c r="C52">
        <v>2.5</v>
      </c>
      <c r="D52">
        <v>0.06</v>
      </c>
      <c r="E52">
        <v>0.3</v>
      </c>
      <c r="F52">
        <v>5</v>
      </c>
      <c r="G52">
        <v>17</v>
      </c>
      <c r="H52">
        <v>8.5</v>
      </c>
      <c r="J52">
        <v>8</v>
      </c>
      <c r="K52" s="29">
        <f t="shared" si="10"/>
        <v>0.1875</v>
      </c>
      <c r="L52" s="29">
        <f t="shared" si="11"/>
        <v>0.63749999999999996</v>
      </c>
    </row>
    <row r="54" spans="1:12" x14ac:dyDescent="0.25">
      <c r="A54" s="19" t="s">
        <v>234</v>
      </c>
    </row>
    <row r="55" spans="1:12" x14ac:dyDescent="0.25">
      <c r="A55" t="s">
        <v>235</v>
      </c>
      <c r="B55">
        <v>7.5</v>
      </c>
      <c r="C55">
        <v>3.8</v>
      </c>
      <c r="D55">
        <v>0.06</v>
      </c>
      <c r="E55">
        <v>0.3</v>
      </c>
      <c r="F55">
        <v>15</v>
      </c>
      <c r="G55">
        <v>12</v>
      </c>
      <c r="H55">
        <v>6</v>
      </c>
      <c r="J55">
        <v>12</v>
      </c>
      <c r="K55" s="29">
        <f t="shared" ref="K55:K64" si="12">B55*F55*60/(1000*J55)</f>
        <v>0.5625</v>
      </c>
      <c r="L55" s="29">
        <f t="shared" ref="L55:L64" si="13">G55*F55*60/(1000*J55)</f>
        <v>0.9</v>
      </c>
    </row>
    <row r="56" spans="1:12" x14ac:dyDescent="0.25">
      <c r="A56" t="s">
        <v>236</v>
      </c>
      <c r="B56">
        <v>5</v>
      </c>
      <c r="C56">
        <v>2.5</v>
      </c>
      <c r="D56">
        <v>0.06</v>
      </c>
      <c r="E56">
        <v>0.3</v>
      </c>
      <c r="F56">
        <v>4</v>
      </c>
      <c r="G56">
        <v>20</v>
      </c>
      <c r="H56">
        <v>10</v>
      </c>
      <c r="J56">
        <v>8</v>
      </c>
      <c r="K56" s="29">
        <f t="shared" si="12"/>
        <v>0.15</v>
      </c>
      <c r="L56" s="29">
        <f t="shared" si="13"/>
        <v>0.6</v>
      </c>
    </row>
    <row r="57" spans="1:12" x14ac:dyDescent="0.25">
      <c r="A57" t="s">
        <v>237</v>
      </c>
      <c r="B57">
        <v>10</v>
      </c>
      <c r="C57">
        <v>5</v>
      </c>
      <c r="D57">
        <v>0.18</v>
      </c>
      <c r="E57">
        <v>0.9</v>
      </c>
      <c r="F57">
        <v>7</v>
      </c>
      <c r="G57">
        <v>36</v>
      </c>
      <c r="H57">
        <v>18</v>
      </c>
      <c r="J57">
        <v>12</v>
      </c>
      <c r="K57" s="29">
        <f t="shared" si="12"/>
        <v>0.35</v>
      </c>
      <c r="L57" s="29">
        <f t="shared" si="13"/>
        <v>1.26</v>
      </c>
    </row>
    <row r="58" spans="1:12" x14ac:dyDescent="0.25">
      <c r="A58" t="s">
        <v>238</v>
      </c>
      <c r="B58">
        <v>5</v>
      </c>
      <c r="C58">
        <v>2.5</v>
      </c>
      <c r="D58">
        <v>0.18</v>
      </c>
      <c r="E58">
        <v>0.9</v>
      </c>
      <c r="F58">
        <v>10</v>
      </c>
      <c r="G58">
        <v>23</v>
      </c>
      <c r="H58">
        <v>11.5</v>
      </c>
      <c r="J58">
        <v>12</v>
      </c>
      <c r="K58" s="29">
        <f t="shared" si="12"/>
        <v>0.25</v>
      </c>
      <c r="L58" s="29">
        <f t="shared" si="13"/>
        <v>1.1499999999999999</v>
      </c>
    </row>
    <row r="59" spans="1:12" x14ac:dyDescent="0.25">
      <c r="A59" t="s">
        <v>239</v>
      </c>
      <c r="B59">
        <v>5</v>
      </c>
      <c r="C59">
        <v>2.5</v>
      </c>
      <c r="D59">
        <v>0.12</v>
      </c>
      <c r="E59">
        <v>0.6</v>
      </c>
      <c r="F59">
        <v>10</v>
      </c>
      <c r="G59">
        <v>17</v>
      </c>
      <c r="H59">
        <v>8.5</v>
      </c>
      <c r="J59">
        <v>12</v>
      </c>
      <c r="K59" s="29">
        <f t="shared" si="12"/>
        <v>0.25</v>
      </c>
      <c r="L59" s="29">
        <f t="shared" si="13"/>
        <v>0.85</v>
      </c>
    </row>
    <row r="60" spans="1:12" x14ac:dyDescent="0.25">
      <c r="A60" t="s">
        <v>240</v>
      </c>
      <c r="B60">
        <v>10</v>
      </c>
      <c r="C60">
        <v>5</v>
      </c>
      <c r="D60">
        <v>0.12</v>
      </c>
      <c r="E60">
        <v>0.6</v>
      </c>
      <c r="F60">
        <v>2</v>
      </c>
      <c r="G60">
        <v>70</v>
      </c>
      <c r="H60">
        <v>35</v>
      </c>
      <c r="J60">
        <v>12</v>
      </c>
      <c r="K60" s="29">
        <f t="shared" si="12"/>
        <v>0.1</v>
      </c>
      <c r="L60" s="29">
        <f t="shared" si="13"/>
        <v>0.7</v>
      </c>
    </row>
    <row r="61" spans="1:12" x14ac:dyDescent="0.25">
      <c r="A61" t="s">
        <v>241</v>
      </c>
      <c r="B61">
        <v>7.5</v>
      </c>
      <c r="C61">
        <v>3.8</v>
      </c>
      <c r="D61">
        <v>0.12</v>
      </c>
      <c r="E61">
        <v>0.6</v>
      </c>
      <c r="F61">
        <v>7</v>
      </c>
      <c r="G61">
        <v>25</v>
      </c>
      <c r="H61">
        <v>12.5</v>
      </c>
      <c r="J61">
        <v>12</v>
      </c>
      <c r="K61" s="29">
        <f t="shared" si="12"/>
        <v>0.26250000000000001</v>
      </c>
      <c r="L61" s="29">
        <f t="shared" si="13"/>
        <v>0.875</v>
      </c>
    </row>
    <row r="62" spans="1:12" x14ac:dyDescent="0.25">
      <c r="A62" t="s">
        <v>242</v>
      </c>
      <c r="B62" t="s">
        <v>217</v>
      </c>
      <c r="C62" t="s">
        <v>217</v>
      </c>
      <c r="D62">
        <v>0</v>
      </c>
      <c r="E62">
        <v>0</v>
      </c>
      <c r="F62" t="s">
        <v>217</v>
      </c>
      <c r="J62">
        <v>8</v>
      </c>
      <c r="K62" s="29" t="e">
        <f t="shared" si="12"/>
        <v>#VALUE!</v>
      </c>
      <c r="L62" s="29" t="e">
        <f t="shared" si="13"/>
        <v>#VALUE!</v>
      </c>
    </row>
    <row r="63" spans="1:12" x14ac:dyDescent="0.25">
      <c r="A63" t="s">
        <v>243</v>
      </c>
      <c r="B63">
        <v>7.5</v>
      </c>
      <c r="C63">
        <v>3.8</v>
      </c>
      <c r="D63">
        <v>0.06</v>
      </c>
      <c r="E63">
        <v>0.3</v>
      </c>
      <c r="F63">
        <v>100</v>
      </c>
      <c r="G63">
        <v>8</v>
      </c>
      <c r="H63">
        <v>4.0999999999999996</v>
      </c>
      <c r="J63">
        <v>12</v>
      </c>
      <c r="K63" s="29">
        <f t="shared" si="12"/>
        <v>3.75</v>
      </c>
      <c r="L63" s="29">
        <f t="shared" si="13"/>
        <v>4</v>
      </c>
    </row>
    <row r="64" spans="1:12" x14ac:dyDescent="0.25">
      <c r="A64" t="s">
        <v>244</v>
      </c>
      <c r="B64">
        <v>10</v>
      </c>
      <c r="C64">
        <v>5</v>
      </c>
      <c r="D64">
        <v>0.06</v>
      </c>
      <c r="E64">
        <v>0.3</v>
      </c>
      <c r="F64" t="s">
        <v>217</v>
      </c>
      <c r="J64">
        <v>12</v>
      </c>
      <c r="K64" s="29" t="e">
        <f t="shared" si="12"/>
        <v>#VALUE!</v>
      </c>
      <c r="L64" s="29" t="e">
        <f t="shared" si="13"/>
        <v>#VALUE!</v>
      </c>
    </row>
    <row r="66" spans="1:12" x14ac:dyDescent="0.25">
      <c r="A66" s="19" t="s">
        <v>245</v>
      </c>
    </row>
    <row r="67" spans="1:12" x14ac:dyDescent="0.25">
      <c r="A67" t="s">
        <v>246</v>
      </c>
      <c r="B67">
        <v>5</v>
      </c>
      <c r="C67">
        <v>2.5</v>
      </c>
      <c r="D67">
        <v>0.06</v>
      </c>
      <c r="E67">
        <v>0.3</v>
      </c>
      <c r="F67">
        <v>150</v>
      </c>
      <c r="G67">
        <v>5</v>
      </c>
      <c r="H67">
        <v>2.7</v>
      </c>
      <c r="J67">
        <v>12</v>
      </c>
      <c r="K67" s="29">
        <f t="shared" ref="K67:K74" si="14">B67*F67*60/(1000*J67)</f>
        <v>3.75</v>
      </c>
      <c r="L67" s="29">
        <f t="shared" ref="L67:L74" si="15">G67*F67*60/(1000*J67)</f>
        <v>3.75</v>
      </c>
    </row>
    <row r="68" spans="1:12" x14ac:dyDescent="0.25">
      <c r="A68" t="s">
        <v>247</v>
      </c>
      <c r="B68">
        <v>5</v>
      </c>
      <c r="C68">
        <v>2.5</v>
      </c>
      <c r="D68">
        <v>0.06</v>
      </c>
      <c r="E68">
        <v>0.3</v>
      </c>
      <c r="F68">
        <v>120</v>
      </c>
      <c r="G68">
        <v>6</v>
      </c>
      <c r="H68">
        <v>2.8</v>
      </c>
      <c r="J68">
        <v>12</v>
      </c>
      <c r="K68" s="29">
        <f t="shared" si="14"/>
        <v>3</v>
      </c>
      <c r="L68" s="29">
        <f t="shared" si="15"/>
        <v>3.6</v>
      </c>
    </row>
    <row r="69" spans="1:12" x14ac:dyDescent="0.25">
      <c r="A69" t="s">
        <v>248</v>
      </c>
      <c r="B69">
        <v>5</v>
      </c>
      <c r="C69">
        <v>2.5</v>
      </c>
      <c r="D69">
        <v>0.06</v>
      </c>
      <c r="E69">
        <v>0.3</v>
      </c>
      <c r="F69">
        <v>70</v>
      </c>
      <c r="G69">
        <v>6</v>
      </c>
      <c r="H69">
        <v>2.9</v>
      </c>
      <c r="J69">
        <v>12</v>
      </c>
      <c r="K69" s="29">
        <f t="shared" si="14"/>
        <v>1.75</v>
      </c>
      <c r="L69" s="29">
        <f t="shared" si="15"/>
        <v>2.1</v>
      </c>
    </row>
    <row r="70" spans="1:12" x14ac:dyDescent="0.25">
      <c r="A70" t="s">
        <v>249</v>
      </c>
      <c r="B70">
        <v>5</v>
      </c>
      <c r="C70">
        <v>2.5</v>
      </c>
      <c r="D70">
        <v>0.06</v>
      </c>
      <c r="E70">
        <v>0.3</v>
      </c>
      <c r="F70">
        <v>50</v>
      </c>
      <c r="G70">
        <v>6</v>
      </c>
      <c r="H70">
        <v>3.1</v>
      </c>
      <c r="J70">
        <v>12</v>
      </c>
      <c r="K70" s="29">
        <f t="shared" si="14"/>
        <v>1.25</v>
      </c>
      <c r="L70" s="29">
        <f t="shared" si="15"/>
        <v>1.5</v>
      </c>
    </row>
    <row r="71" spans="1:12" x14ac:dyDescent="0.25">
      <c r="A71" t="s">
        <v>250</v>
      </c>
      <c r="B71">
        <v>5</v>
      </c>
      <c r="C71">
        <v>2.5</v>
      </c>
      <c r="D71">
        <v>0.12</v>
      </c>
      <c r="E71">
        <v>0.6</v>
      </c>
      <c r="F71">
        <v>10</v>
      </c>
      <c r="G71">
        <v>17</v>
      </c>
      <c r="H71">
        <v>8.5</v>
      </c>
      <c r="J71">
        <v>12</v>
      </c>
      <c r="K71" s="29">
        <f t="shared" si="14"/>
        <v>0.25</v>
      </c>
      <c r="L71" s="29">
        <f t="shared" si="15"/>
        <v>0.85</v>
      </c>
    </row>
    <row r="72" spans="1:12" x14ac:dyDescent="0.25">
      <c r="A72" t="s">
        <v>251</v>
      </c>
      <c r="B72">
        <v>5</v>
      </c>
      <c r="C72">
        <v>2.5</v>
      </c>
      <c r="D72">
        <v>0.06</v>
      </c>
      <c r="E72">
        <v>0.3</v>
      </c>
      <c r="F72">
        <v>150</v>
      </c>
      <c r="G72">
        <v>5</v>
      </c>
      <c r="H72">
        <v>2.7</v>
      </c>
      <c r="J72">
        <v>12</v>
      </c>
      <c r="K72" s="29">
        <f t="shared" si="14"/>
        <v>3.75</v>
      </c>
      <c r="L72" s="29">
        <f t="shared" si="15"/>
        <v>3.75</v>
      </c>
    </row>
    <row r="73" spans="1:12" x14ac:dyDescent="0.25">
      <c r="A73" t="s">
        <v>252</v>
      </c>
      <c r="B73">
        <v>7.5</v>
      </c>
      <c r="C73">
        <v>3.8</v>
      </c>
      <c r="D73">
        <v>0.12</v>
      </c>
      <c r="E73">
        <v>0.6</v>
      </c>
      <c r="F73">
        <v>40</v>
      </c>
      <c r="G73">
        <v>11</v>
      </c>
      <c r="H73">
        <v>5.3</v>
      </c>
      <c r="J73">
        <v>12</v>
      </c>
      <c r="K73" s="29">
        <f t="shared" si="14"/>
        <v>1.5</v>
      </c>
      <c r="L73" s="29">
        <f t="shared" si="15"/>
        <v>2.2000000000000002</v>
      </c>
    </row>
    <row r="74" spans="1:12" x14ac:dyDescent="0.25">
      <c r="A74" t="s">
        <v>253</v>
      </c>
      <c r="B74">
        <v>7.5</v>
      </c>
      <c r="C74">
        <v>3.8</v>
      </c>
      <c r="D74">
        <v>0.06</v>
      </c>
      <c r="E74">
        <v>0.3</v>
      </c>
      <c r="F74">
        <v>40</v>
      </c>
      <c r="G74">
        <v>9</v>
      </c>
      <c r="H74">
        <v>4.5999999999999996</v>
      </c>
      <c r="J74">
        <v>12</v>
      </c>
      <c r="K74" s="29">
        <f t="shared" si="14"/>
        <v>1.5</v>
      </c>
      <c r="L74" s="29">
        <f t="shared" si="15"/>
        <v>1.8</v>
      </c>
    </row>
    <row r="76" spans="1:12" x14ac:dyDescent="0.25">
      <c r="A76" s="19" t="s">
        <v>254</v>
      </c>
    </row>
    <row r="77" spans="1:12" x14ac:dyDescent="0.25">
      <c r="A77" t="s">
        <v>255</v>
      </c>
      <c r="B77">
        <v>5</v>
      </c>
      <c r="C77">
        <v>2.5</v>
      </c>
      <c r="D77">
        <v>0.06</v>
      </c>
      <c r="E77">
        <v>0.3</v>
      </c>
      <c r="F77" t="s">
        <v>256</v>
      </c>
      <c r="G77" t="s">
        <v>257</v>
      </c>
      <c r="J77">
        <v>8</v>
      </c>
      <c r="K77" s="29" t="e">
        <f t="shared" ref="K77:K78" si="16">B77*F77*60/(1000*J77)</f>
        <v>#VALUE!</v>
      </c>
      <c r="L77" s="29" t="e">
        <f t="shared" ref="L77:L78" si="17">G77*F77*60/(1000*J77)</f>
        <v>#VALUE!</v>
      </c>
    </row>
    <row r="78" spans="1:12" x14ac:dyDescent="0.25">
      <c r="A78" t="s">
        <v>258</v>
      </c>
      <c r="B78" t="s">
        <v>217</v>
      </c>
      <c r="C78" t="s">
        <v>217</v>
      </c>
      <c r="D78">
        <v>0.06</v>
      </c>
      <c r="E78">
        <v>0.3</v>
      </c>
      <c r="J78">
        <v>8</v>
      </c>
      <c r="K78" s="29" t="e">
        <f t="shared" si="16"/>
        <v>#VALUE!</v>
      </c>
      <c r="L78" s="29">
        <f t="shared" si="17"/>
        <v>0</v>
      </c>
    </row>
    <row r="79" spans="1:12" x14ac:dyDescent="0.25">
      <c r="L79" t="e">
        <f t="shared" ref="L79:L80" si="18">(G79)*F79*60/(1000*J79)</f>
        <v>#DIV/0!</v>
      </c>
    </row>
    <row r="80" spans="1:12" x14ac:dyDescent="0.25">
      <c r="A80" s="19" t="s">
        <v>262</v>
      </c>
      <c r="L80" t="e">
        <f t="shared" si="18"/>
        <v>#DIV/0!</v>
      </c>
    </row>
    <row r="81" spans="1:12" x14ac:dyDescent="0.25">
      <c r="A81" t="s">
        <v>259</v>
      </c>
      <c r="B81">
        <v>7.5</v>
      </c>
      <c r="C81">
        <v>3.8</v>
      </c>
      <c r="D81">
        <v>0.12</v>
      </c>
      <c r="E81">
        <v>0.6</v>
      </c>
      <c r="F81">
        <v>15</v>
      </c>
      <c r="G81">
        <v>16</v>
      </c>
      <c r="H81">
        <v>7.8</v>
      </c>
      <c r="I81">
        <v>2</v>
      </c>
      <c r="J81">
        <v>12</v>
      </c>
      <c r="K81" s="29">
        <f t="shared" ref="K81:K87" si="19">B81*F81*60/(1000*J81)</f>
        <v>0.5625</v>
      </c>
      <c r="L81" s="29">
        <f t="shared" ref="L81:L87" si="20">G81*F81*60/(1000*J81)</f>
        <v>1.2</v>
      </c>
    </row>
    <row r="82" spans="1:12" x14ac:dyDescent="0.25">
      <c r="A82" t="s">
        <v>260</v>
      </c>
      <c r="B82">
        <v>7.5</v>
      </c>
      <c r="C82">
        <v>3.8</v>
      </c>
      <c r="D82">
        <v>0.06</v>
      </c>
      <c r="E82">
        <v>0.3</v>
      </c>
      <c r="F82">
        <v>40</v>
      </c>
      <c r="G82">
        <v>9</v>
      </c>
      <c r="H82">
        <v>4.5999999999999996</v>
      </c>
      <c r="I82">
        <v>1</v>
      </c>
      <c r="J82">
        <v>12</v>
      </c>
      <c r="K82" s="29">
        <f t="shared" si="19"/>
        <v>1.5</v>
      </c>
      <c r="L82" s="29">
        <f t="shared" si="20"/>
        <v>1.8</v>
      </c>
    </row>
    <row r="83" spans="1:12" x14ac:dyDescent="0.25">
      <c r="A83" t="s">
        <v>261</v>
      </c>
      <c r="B83">
        <v>7.5</v>
      </c>
      <c r="C83">
        <v>3.8</v>
      </c>
      <c r="D83">
        <v>0.06</v>
      </c>
      <c r="E83">
        <v>0.3</v>
      </c>
      <c r="F83">
        <v>25</v>
      </c>
      <c r="G83">
        <v>10</v>
      </c>
      <c r="H83">
        <v>5</v>
      </c>
      <c r="I83">
        <v>2</v>
      </c>
      <c r="J83">
        <v>12</v>
      </c>
      <c r="K83" s="29">
        <f t="shared" si="19"/>
        <v>0.9375</v>
      </c>
      <c r="L83" s="29">
        <f t="shared" si="20"/>
        <v>1.25</v>
      </c>
    </row>
    <row r="84" spans="1:12" x14ac:dyDescent="0.25">
      <c r="A84" t="s">
        <v>263</v>
      </c>
      <c r="B84">
        <v>20</v>
      </c>
      <c r="C84">
        <v>10</v>
      </c>
      <c r="D84">
        <v>0.12</v>
      </c>
      <c r="E84">
        <v>0.6</v>
      </c>
      <c r="F84">
        <v>25</v>
      </c>
      <c r="G84">
        <v>25</v>
      </c>
      <c r="H84">
        <v>12.4</v>
      </c>
      <c r="J84">
        <v>12</v>
      </c>
      <c r="K84" s="29">
        <f t="shared" si="19"/>
        <v>2.5</v>
      </c>
      <c r="L84" s="29">
        <f t="shared" si="20"/>
        <v>3.125</v>
      </c>
    </row>
    <row r="85" spans="1:12" x14ac:dyDescent="0.25">
      <c r="A85" t="s">
        <v>264</v>
      </c>
      <c r="B85">
        <v>7.5</v>
      </c>
      <c r="C85">
        <v>3.8</v>
      </c>
      <c r="D85">
        <v>0.18</v>
      </c>
      <c r="E85">
        <v>0.9</v>
      </c>
      <c r="F85">
        <v>10</v>
      </c>
      <c r="G85">
        <v>26</v>
      </c>
      <c r="H85">
        <v>12.8</v>
      </c>
      <c r="J85">
        <v>12</v>
      </c>
      <c r="K85" s="29">
        <f t="shared" si="19"/>
        <v>0.375</v>
      </c>
      <c r="L85" s="29">
        <f t="shared" si="20"/>
        <v>1.3</v>
      </c>
    </row>
    <row r="86" spans="1:12" x14ac:dyDescent="0.25">
      <c r="A86" t="s">
        <v>265</v>
      </c>
      <c r="B86">
        <v>7.5</v>
      </c>
      <c r="C86">
        <v>3.8</v>
      </c>
      <c r="D86">
        <v>0.06</v>
      </c>
      <c r="E86">
        <v>0.3</v>
      </c>
      <c r="F86">
        <v>8</v>
      </c>
      <c r="G86">
        <v>15</v>
      </c>
      <c r="H86">
        <v>7.6</v>
      </c>
      <c r="J86">
        <v>12</v>
      </c>
      <c r="K86" s="29">
        <f t="shared" si="19"/>
        <v>0.3</v>
      </c>
      <c r="L86" s="29">
        <f t="shared" si="20"/>
        <v>0.6</v>
      </c>
    </row>
    <row r="87" spans="1:12" x14ac:dyDescent="0.25">
      <c r="A87" t="s">
        <v>266</v>
      </c>
      <c r="B87">
        <v>7.5</v>
      </c>
      <c r="C87">
        <v>3.8</v>
      </c>
      <c r="D87">
        <v>0.12</v>
      </c>
      <c r="E87">
        <v>0.6</v>
      </c>
      <c r="F87">
        <v>20</v>
      </c>
      <c r="G87">
        <v>14</v>
      </c>
      <c r="H87">
        <v>7</v>
      </c>
      <c r="J87">
        <v>12</v>
      </c>
      <c r="K87" s="29">
        <f t="shared" si="19"/>
        <v>0.75</v>
      </c>
      <c r="L87" s="29">
        <f t="shared" si="20"/>
        <v>1.4</v>
      </c>
    </row>
    <row r="89" spans="1:12" x14ac:dyDescent="0.25">
      <c r="A89" s="19" t="s">
        <v>267</v>
      </c>
    </row>
    <row r="90" spans="1:12" x14ac:dyDescent="0.25">
      <c r="A90" t="s">
        <v>268</v>
      </c>
      <c r="B90">
        <v>20</v>
      </c>
      <c r="C90">
        <v>10</v>
      </c>
      <c r="D90">
        <v>0.18</v>
      </c>
      <c r="E90">
        <v>0.9</v>
      </c>
      <c r="F90">
        <v>7</v>
      </c>
      <c r="G90">
        <v>45</v>
      </c>
      <c r="H90">
        <v>23</v>
      </c>
      <c r="J90">
        <v>12</v>
      </c>
      <c r="K90" s="29">
        <f t="shared" ref="K90:K100" si="21">B90*F90*60/(1000*J90)</f>
        <v>0.7</v>
      </c>
      <c r="L90" s="29">
        <f t="shared" ref="L90:L100" si="22">G90*F90*60/(1000*J90)</f>
        <v>1.575</v>
      </c>
    </row>
    <row r="91" spans="1:12" x14ac:dyDescent="0.25">
      <c r="A91" t="s">
        <v>269</v>
      </c>
      <c r="B91">
        <v>20</v>
      </c>
      <c r="C91">
        <v>10</v>
      </c>
      <c r="D91">
        <v>0.18</v>
      </c>
      <c r="E91">
        <v>0.9</v>
      </c>
      <c r="F91">
        <v>7</v>
      </c>
      <c r="G91">
        <v>45</v>
      </c>
      <c r="H91">
        <v>23</v>
      </c>
      <c r="J91">
        <v>12</v>
      </c>
      <c r="K91" s="29">
        <f t="shared" si="21"/>
        <v>0.7</v>
      </c>
      <c r="L91" s="29">
        <f t="shared" si="22"/>
        <v>1.575</v>
      </c>
    </row>
    <row r="92" spans="1:12" x14ac:dyDescent="0.25">
      <c r="A92" t="s">
        <v>270</v>
      </c>
      <c r="B92">
        <v>7.5</v>
      </c>
      <c r="C92">
        <v>3.8</v>
      </c>
      <c r="D92">
        <v>0.06</v>
      </c>
      <c r="E92">
        <v>0.3</v>
      </c>
      <c r="F92">
        <v>150</v>
      </c>
      <c r="G92">
        <v>8</v>
      </c>
      <c r="H92">
        <v>4</v>
      </c>
      <c r="J92">
        <v>12</v>
      </c>
      <c r="K92" s="29">
        <f t="shared" si="21"/>
        <v>5.625</v>
      </c>
      <c r="L92" s="29">
        <f t="shared" si="22"/>
        <v>6</v>
      </c>
    </row>
    <row r="93" spans="1:12" x14ac:dyDescent="0.25">
      <c r="A93" t="s">
        <v>271</v>
      </c>
      <c r="B93" t="s">
        <v>217</v>
      </c>
      <c r="C93" t="s">
        <v>217</v>
      </c>
      <c r="D93">
        <v>0.48</v>
      </c>
      <c r="E93">
        <v>2.4</v>
      </c>
      <c r="F93" t="s">
        <v>217</v>
      </c>
      <c r="J93">
        <v>12</v>
      </c>
      <c r="K93" s="29" t="e">
        <f t="shared" si="21"/>
        <v>#VALUE!</v>
      </c>
      <c r="L93" s="29" t="e">
        <f t="shared" si="22"/>
        <v>#VALUE!</v>
      </c>
    </row>
    <row r="94" spans="1:12" x14ac:dyDescent="0.25">
      <c r="A94" t="s">
        <v>272</v>
      </c>
      <c r="B94">
        <v>20</v>
      </c>
      <c r="C94">
        <v>10</v>
      </c>
      <c r="D94">
        <v>0.06</v>
      </c>
      <c r="E94">
        <v>0.3</v>
      </c>
      <c r="F94">
        <v>100</v>
      </c>
      <c r="G94">
        <v>21</v>
      </c>
      <c r="H94">
        <v>10.3</v>
      </c>
      <c r="J94">
        <v>12</v>
      </c>
      <c r="K94" s="29">
        <f t="shared" si="21"/>
        <v>10</v>
      </c>
      <c r="L94" s="29">
        <f t="shared" si="22"/>
        <v>10.5</v>
      </c>
    </row>
    <row r="95" spans="1:12" x14ac:dyDescent="0.25">
      <c r="A95" t="s">
        <v>273</v>
      </c>
      <c r="B95">
        <v>20</v>
      </c>
      <c r="C95">
        <v>10</v>
      </c>
      <c r="D95">
        <v>0.06</v>
      </c>
      <c r="E95">
        <v>0.3</v>
      </c>
      <c r="F95">
        <v>40</v>
      </c>
      <c r="G95">
        <v>22</v>
      </c>
      <c r="H95">
        <v>10.8</v>
      </c>
      <c r="J95">
        <v>12</v>
      </c>
      <c r="K95" s="29">
        <f t="shared" si="21"/>
        <v>4</v>
      </c>
      <c r="L95" s="29">
        <f t="shared" si="22"/>
        <v>4.4000000000000004</v>
      </c>
    </row>
    <row r="96" spans="1:12" x14ac:dyDescent="0.25">
      <c r="A96" t="s">
        <v>274</v>
      </c>
      <c r="B96">
        <v>20</v>
      </c>
      <c r="C96">
        <v>10</v>
      </c>
      <c r="D96">
        <v>0.06</v>
      </c>
      <c r="E96">
        <v>0.3</v>
      </c>
      <c r="F96">
        <v>10</v>
      </c>
      <c r="G96">
        <v>26</v>
      </c>
      <c r="H96">
        <v>13</v>
      </c>
      <c r="J96">
        <v>12</v>
      </c>
      <c r="K96" s="29">
        <f t="shared" si="21"/>
        <v>1</v>
      </c>
      <c r="L96" s="29">
        <f t="shared" si="22"/>
        <v>1.3</v>
      </c>
    </row>
    <row r="97" spans="1:13" x14ac:dyDescent="0.25">
      <c r="A97" t="s">
        <v>275</v>
      </c>
      <c r="B97">
        <v>10</v>
      </c>
      <c r="C97">
        <v>5</v>
      </c>
      <c r="D97">
        <v>0.12</v>
      </c>
      <c r="E97">
        <v>0.6</v>
      </c>
      <c r="F97">
        <v>40</v>
      </c>
      <c r="G97">
        <v>13</v>
      </c>
      <c r="H97">
        <v>6.5</v>
      </c>
      <c r="J97">
        <v>12</v>
      </c>
      <c r="K97" s="29">
        <f t="shared" si="21"/>
        <v>2</v>
      </c>
      <c r="L97" s="29">
        <f t="shared" si="22"/>
        <v>2.6</v>
      </c>
    </row>
    <row r="98" spans="1:13" x14ac:dyDescent="0.25">
      <c r="A98" t="s">
        <v>276</v>
      </c>
      <c r="B98">
        <v>7.5</v>
      </c>
      <c r="C98">
        <v>3.8</v>
      </c>
      <c r="D98">
        <v>0.18</v>
      </c>
      <c r="E98">
        <v>0.9</v>
      </c>
      <c r="F98">
        <v>120</v>
      </c>
      <c r="G98">
        <v>9</v>
      </c>
      <c r="H98">
        <v>4.5999999999999996</v>
      </c>
      <c r="J98">
        <v>12</v>
      </c>
      <c r="K98" s="29">
        <f t="shared" si="21"/>
        <v>4.5</v>
      </c>
      <c r="L98" s="29">
        <f t="shared" si="22"/>
        <v>5.4</v>
      </c>
    </row>
    <row r="99" spans="1:13" x14ac:dyDescent="0.25">
      <c r="A99" t="s">
        <v>277</v>
      </c>
      <c r="B99">
        <v>7.5</v>
      </c>
      <c r="C99">
        <v>3.8</v>
      </c>
      <c r="D99">
        <v>0.18</v>
      </c>
      <c r="E99">
        <v>0.9</v>
      </c>
      <c r="F99">
        <v>20</v>
      </c>
      <c r="G99">
        <v>17</v>
      </c>
      <c r="H99">
        <v>8.3000000000000007</v>
      </c>
      <c r="J99">
        <v>12</v>
      </c>
      <c r="K99" s="29">
        <f t="shared" si="21"/>
        <v>0.75</v>
      </c>
      <c r="L99" s="29">
        <f t="shared" si="22"/>
        <v>1.7</v>
      </c>
    </row>
    <row r="100" spans="1:13" x14ac:dyDescent="0.25">
      <c r="A100" t="s">
        <v>278</v>
      </c>
      <c r="B100">
        <v>10</v>
      </c>
      <c r="C100">
        <v>5</v>
      </c>
      <c r="D100">
        <v>0.06</v>
      </c>
      <c r="E100">
        <v>0.3</v>
      </c>
      <c r="F100">
        <v>70</v>
      </c>
      <c r="G100">
        <v>11</v>
      </c>
      <c r="H100">
        <v>5.4</v>
      </c>
      <c r="J100">
        <v>12</v>
      </c>
      <c r="K100" s="29">
        <f t="shared" si="21"/>
        <v>3.5</v>
      </c>
      <c r="L100" s="29">
        <f t="shared" si="22"/>
        <v>3.85</v>
      </c>
    </row>
    <row r="102" spans="1:13" ht="60" x14ac:dyDescent="0.25">
      <c r="B102" s="17" t="s">
        <v>279</v>
      </c>
      <c r="C102" s="17" t="s">
        <v>280</v>
      </c>
      <c r="F102" s="17" t="s">
        <v>293</v>
      </c>
      <c r="G102" s="17" t="s">
        <v>283</v>
      </c>
      <c r="H102" s="17" t="s">
        <v>294</v>
      </c>
      <c r="K102" s="17" t="s">
        <v>331</v>
      </c>
    </row>
    <row r="103" spans="1:13" x14ac:dyDescent="0.25">
      <c r="A103" s="27" t="s">
        <v>290</v>
      </c>
      <c r="M103" t="s">
        <v>296</v>
      </c>
    </row>
    <row r="104" spans="1:13" x14ac:dyDescent="0.25">
      <c r="A104" t="s">
        <v>289</v>
      </c>
      <c r="B104">
        <v>25</v>
      </c>
      <c r="C104">
        <v>13</v>
      </c>
      <c r="F104">
        <v>10</v>
      </c>
      <c r="J104">
        <v>12</v>
      </c>
      <c r="K104" s="29">
        <f>B104*F104*60/(1000*J104)</f>
        <v>1.25</v>
      </c>
      <c r="L104" s="29"/>
    </row>
    <row r="105" spans="1:13" x14ac:dyDescent="0.25">
      <c r="A105" t="s">
        <v>286</v>
      </c>
      <c r="B105">
        <v>15</v>
      </c>
      <c r="C105">
        <v>8</v>
      </c>
      <c r="F105">
        <v>20</v>
      </c>
      <c r="J105">
        <v>12</v>
      </c>
      <c r="K105" s="29">
        <f t="shared" ref="K105:K109" si="23">B105*F105*60/(1000*J105)</f>
        <v>1.5</v>
      </c>
      <c r="L105" s="29"/>
    </row>
    <row r="106" spans="1:13" x14ac:dyDescent="0.25">
      <c r="A106" t="s">
        <v>287</v>
      </c>
      <c r="B106">
        <v>30</v>
      </c>
      <c r="C106">
        <v>15</v>
      </c>
      <c r="F106">
        <v>20</v>
      </c>
      <c r="J106">
        <v>12</v>
      </c>
      <c r="K106" s="29">
        <f t="shared" si="23"/>
        <v>3</v>
      </c>
      <c r="L106" s="29"/>
    </row>
    <row r="107" spans="1:13" x14ac:dyDescent="0.25">
      <c r="A107" t="s">
        <v>288</v>
      </c>
      <c r="B107">
        <v>15</v>
      </c>
      <c r="C107">
        <v>8</v>
      </c>
      <c r="F107">
        <v>20</v>
      </c>
      <c r="J107">
        <v>12</v>
      </c>
      <c r="K107" s="29">
        <f t="shared" si="23"/>
        <v>1.5</v>
      </c>
      <c r="L107" s="29"/>
    </row>
    <row r="108" spans="1:13" x14ac:dyDescent="0.25">
      <c r="A108" t="s">
        <v>291</v>
      </c>
      <c r="G108">
        <v>0.5</v>
      </c>
      <c r="H108">
        <v>2.5</v>
      </c>
      <c r="J108">
        <v>12</v>
      </c>
      <c r="K108" s="29">
        <f>G108*60/J108</f>
        <v>2.5</v>
      </c>
      <c r="L108" s="29"/>
    </row>
    <row r="109" spans="1:13" x14ac:dyDescent="0.25">
      <c r="A109" t="s">
        <v>292</v>
      </c>
      <c r="B109">
        <v>15</v>
      </c>
      <c r="C109">
        <v>8</v>
      </c>
      <c r="F109">
        <v>20</v>
      </c>
      <c r="J109">
        <v>12</v>
      </c>
      <c r="K109" s="29">
        <f t="shared" si="23"/>
        <v>1.5</v>
      </c>
      <c r="L109" s="29"/>
    </row>
    <row r="111" spans="1:13" x14ac:dyDescent="0.25">
      <c r="A111" s="19" t="s">
        <v>303</v>
      </c>
    </row>
    <row r="112" spans="1:13" x14ac:dyDescent="0.25">
      <c r="A112" t="s">
        <v>297</v>
      </c>
      <c r="B112">
        <v>25</v>
      </c>
      <c r="C112">
        <v>13</v>
      </c>
      <c r="F112">
        <v>10</v>
      </c>
      <c r="J112">
        <v>12</v>
      </c>
      <c r="K112" s="29">
        <f t="shared" ref="K112:K116" si="24">B112*F112*60/(1000*J112)</f>
        <v>1.25</v>
      </c>
      <c r="L112" s="29"/>
    </row>
    <row r="113" spans="1:13" x14ac:dyDescent="0.25">
      <c r="A113" t="s">
        <v>298</v>
      </c>
      <c r="B113">
        <v>30</v>
      </c>
      <c r="C113">
        <v>15</v>
      </c>
      <c r="F113">
        <v>30</v>
      </c>
      <c r="J113">
        <v>12</v>
      </c>
      <c r="K113" s="29">
        <f t="shared" si="24"/>
        <v>4.5</v>
      </c>
      <c r="L113" s="29"/>
    </row>
    <row r="114" spans="1:13" x14ac:dyDescent="0.25">
      <c r="A114" t="s">
        <v>299</v>
      </c>
      <c r="B114">
        <v>35</v>
      </c>
      <c r="C114">
        <v>18</v>
      </c>
      <c r="F114">
        <v>30</v>
      </c>
      <c r="J114">
        <v>12</v>
      </c>
      <c r="K114" s="29">
        <f t="shared" si="24"/>
        <v>5.25</v>
      </c>
      <c r="L114" s="29"/>
    </row>
    <row r="115" spans="1:13" x14ac:dyDescent="0.25">
      <c r="A115" t="s">
        <v>266</v>
      </c>
      <c r="B115">
        <v>15</v>
      </c>
      <c r="C115">
        <v>8</v>
      </c>
      <c r="F115">
        <v>20</v>
      </c>
      <c r="J115">
        <v>12</v>
      </c>
      <c r="K115" s="29">
        <f t="shared" si="24"/>
        <v>1.5</v>
      </c>
      <c r="L115" s="29"/>
    </row>
    <row r="116" spans="1:13" x14ac:dyDescent="0.25">
      <c r="A116" t="s">
        <v>300</v>
      </c>
      <c r="B116">
        <v>15</v>
      </c>
      <c r="C116">
        <v>8</v>
      </c>
      <c r="F116">
        <v>20</v>
      </c>
      <c r="J116">
        <v>12</v>
      </c>
      <c r="K116" s="29">
        <f t="shared" si="24"/>
        <v>1.5</v>
      </c>
      <c r="L116" s="29"/>
    </row>
    <row r="118" spans="1:13" x14ac:dyDescent="0.25">
      <c r="A118" t="s">
        <v>207</v>
      </c>
    </row>
    <row r="119" spans="1:13" x14ac:dyDescent="0.25">
      <c r="A119" t="s">
        <v>301</v>
      </c>
      <c r="B119">
        <v>20</v>
      </c>
      <c r="C119">
        <v>10</v>
      </c>
      <c r="F119">
        <v>70</v>
      </c>
      <c r="J119">
        <v>12</v>
      </c>
      <c r="K119" s="29">
        <f t="shared" ref="K119:K122" si="25">B119*F119*60/(1000*J119)</f>
        <v>7</v>
      </c>
      <c r="L119" s="29"/>
    </row>
    <row r="120" spans="1:13" x14ac:dyDescent="0.25">
      <c r="A120" t="s">
        <v>302</v>
      </c>
      <c r="B120">
        <v>20</v>
      </c>
      <c r="C120">
        <v>10</v>
      </c>
      <c r="F120">
        <v>100</v>
      </c>
      <c r="J120">
        <v>12</v>
      </c>
      <c r="K120" s="29">
        <f t="shared" si="25"/>
        <v>10</v>
      </c>
      <c r="L120" s="29"/>
    </row>
    <row r="121" spans="1:13" x14ac:dyDescent="0.25">
      <c r="A121" t="s">
        <v>210</v>
      </c>
      <c r="B121">
        <v>30</v>
      </c>
      <c r="C121">
        <v>15</v>
      </c>
      <c r="F121">
        <v>100</v>
      </c>
      <c r="J121">
        <v>12</v>
      </c>
      <c r="K121" s="29">
        <f t="shared" si="25"/>
        <v>15</v>
      </c>
      <c r="L121" s="29"/>
      <c r="M121" t="s">
        <v>304</v>
      </c>
    </row>
    <row r="122" spans="1:13" x14ac:dyDescent="0.25">
      <c r="A122" t="s">
        <v>305</v>
      </c>
      <c r="B122">
        <v>15</v>
      </c>
      <c r="C122">
        <v>8</v>
      </c>
      <c r="F122">
        <v>20</v>
      </c>
      <c r="J122">
        <v>12</v>
      </c>
      <c r="K122" s="29">
        <f t="shared" si="25"/>
        <v>1.5</v>
      </c>
      <c r="L122" s="29"/>
      <c r="M122" t="s">
        <v>306</v>
      </c>
    </row>
    <row r="124" spans="1:13" x14ac:dyDescent="0.25">
      <c r="A124" s="19" t="s">
        <v>186</v>
      </c>
    </row>
    <row r="125" spans="1:13" x14ac:dyDescent="0.25">
      <c r="A125" t="s">
        <v>307</v>
      </c>
      <c r="B125">
        <v>20</v>
      </c>
      <c r="C125">
        <v>10</v>
      </c>
      <c r="F125">
        <v>20</v>
      </c>
      <c r="J125">
        <v>12</v>
      </c>
      <c r="K125" s="29">
        <f t="shared" ref="K125:K127" si="26">B125*F125*60/(1000*J125)</f>
        <v>2</v>
      </c>
      <c r="L125" s="29"/>
    </row>
    <row r="126" spans="1:13" x14ac:dyDescent="0.25">
      <c r="A126" t="s">
        <v>308</v>
      </c>
      <c r="B126">
        <v>15</v>
      </c>
      <c r="C126">
        <v>8</v>
      </c>
      <c r="F126">
        <v>100</v>
      </c>
      <c r="J126">
        <v>12</v>
      </c>
      <c r="K126" s="29">
        <f t="shared" si="26"/>
        <v>7.5</v>
      </c>
      <c r="L126" s="29"/>
    </row>
    <row r="127" spans="1:13" x14ac:dyDescent="0.25">
      <c r="A127" t="s">
        <v>309</v>
      </c>
      <c r="B127">
        <v>15</v>
      </c>
      <c r="C127">
        <v>8</v>
      </c>
      <c r="F127">
        <v>40</v>
      </c>
      <c r="J127">
        <v>12</v>
      </c>
      <c r="K127" s="29">
        <f t="shared" si="26"/>
        <v>3</v>
      </c>
      <c r="L127" s="29"/>
    </row>
    <row r="129" spans="1:12" x14ac:dyDescent="0.25">
      <c r="A129" s="19" t="s">
        <v>310</v>
      </c>
    </row>
    <row r="130" spans="1:12" x14ac:dyDescent="0.25">
      <c r="E130">
        <v>1.5</v>
      </c>
      <c r="F130">
        <v>7.5</v>
      </c>
      <c r="K130" s="29" t="e">
        <f t="shared" ref="K130:K131" si="27">B130*F130*60/(1000*J130)</f>
        <v>#DIV/0!</v>
      </c>
      <c r="L130" s="29"/>
    </row>
    <row r="131" spans="1:12" x14ac:dyDescent="0.25">
      <c r="E131">
        <v>1.5</v>
      </c>
      <c r="F131">
        <v>7.5</v>
      </c>
      <c r="K131" s="29" t="e">
        <f t="shared" si="27"/>
        <v>#DIV/0!</v>
      </c>
      <c r="L131" s="29"/>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0EA8-741E-4610-80F5-4EB80903D1C1}">
  <dimension ref="A2:L145"/>
  <sheetViews>
    <sheetView tabSelected="1" topLeftCell="A125" workbookViewId="0">
      <selection activeCell="A134" sqref="A134"/>
    </sheetView>
  </sheetViews>
  <sheetFormatPr defaultRowHeight="15" x14ac:dyDescent="0.25"/>
  <cols>
    <col min="1" max="1" width="40.7109375" style="33" bestFit="1" customWidth="1"/>
    <col min="3" max="3" width="13.5703125" bestFit="1" customWidth="1"/>
    <col min="4" max="4" width="12.42578125" bestFit="1" customWidth="1"/>
    <col min="5" max="5" width="13.5703125" bestFit="1" customWidth="1"/>
    <col min="6" max="6" width="13.5703125" customWidth="1"/>
    <col min="7" max="7" width="13.5703125" bestFit="1" customWidth="1"/>
    <col min="8" max="8" width="11.7109375" customWidth="1"/>
    <col min="10" max="11" width="13.5703125" bestFit="1" customWidth="1"/>
  </cols>
  <sheetData>
    <row r="2" spans="1:12" s="10" customFormat="1" x14ac:dyDescent="0.25">
      <c r="A2" s="32" t="s">
        <v>332</v>
      </c>
      <c r="B2" s="31" t="s">
        <v>333</v>
      </c>
      <c r="C2" s="31" t="s">
        <v>335</v>
      </c>
      <c r="D2" s="31" t="s">
        <v>337</v>
      </c>
      <c r="E2" s="31" t="s">
        <v>338</v>
      </c>
      <c r="F2" s="31" t="s">
        <v>338</v>
      </c>
      <c r="G2" s="31" t="s">
        <v>342</v>
      </c>
      <c r="H2" s="31" t="s">
        <v>335</v>
      </c>
      <c r="I2" s="31" t="s">
        <v>337</v>
      </c>
      <c r="J2" s="31" t="s">
        <v>344</v>
      </c>
      <c r="K2" s="31" t="s">
        <v>344</v>
      </c>
    </row>
    <row r="3" spans="1:12" s="10" customFormat="1" x14ac:dyDescent="0.25">
      <c r="A3" s="32"/>
      <c r="B3" s="31" t="s">
        <v>334</v>
      </c>
      <c r="C3" s="31" t="s">
        <v>336</v>
      </c>
      <c r="D3" s="31" t="s">
        <v>336</v>
      </c>
      <c r="E3" s="31" t="s">
        <v>339</v>
      </c>
      <c r="F3" s="31" t="s">
        <v>339</v>
      </c>
      <c r="G3" s="31" t="s">
        <v>343</v>
      </c>
      <c r="H3" s="31" t="s">
        <v>396</v>
      </c>
      <c r="I3" s="31" t="s">
        <v>396</v>
      </c>
      <c r="J3" s="31" t="s">
        <v>345</v>
      </c>
      <c r="K3" s="31" t="s">
        <v>364</v>
      </c>
    </row>
    <row r="4" spans="1:12" s="10" customFormat="1" x14ac:dyDescent="0.25">
      <c r="A4" s="32"/>
      <c r="B4" s="31"/>
      <c r="C4" s="31"/>
      <c r="D4" s="31"/>
      <c r="E4" s="31" t="s">
        <v>340</v>
      </c>
      <c r="F4" s="31" t="s">
        <v>340</v>
      </c>
      <c r="G4" s="31"/>
      <c r="H4" s="36" t="s">
        <v>63</v>
      </c>
      <c r="I4" s="36" t="s">
        <v>63</v>
      </c>
      <c r="J4" s="31"/>
    </row>
    <row r="5" spans="1:12" s="10" customFormat="1" x14ac:dyDescent="0.25">
      <c r="A5" s="32"/>
      <c r="B5" s="31"/>
      <c r="C5" s="31"/>
      <c r="D5" s="31"/>
      <c r="E5" s="31" t="s">
        <v>391</v>
      </c>
      <c r="F5" s="31" t="s">
        <v>390</v>
      </c>
      <c r="G5" s="31"/>
      <c r="J5" s="31"/>
    </row>
    <row r="6" spans="1:12" s="10" customFormat="1" x14ac:dyDescent="0.25">
      <c r="A6" s="32"/>
      <c r="B6" s="31"/>
      <c r="C6" s="31"/>
      <c r="D6" s="31"/>
      <c r="E6" s="31" t="s">
        <v>392</v>
      </c>
      <c r="F6" s="31" t="s">
        <v>341</v>
      </c>
      <c r="G6" s="31"/>
      <c r="J6" s="31"/>
    </row>
    <row r="7" spans="1:12" x14ac:dyDescent="0.25">
      <c r="A7" s="33" t="s">
        <v>346</v>
      </c>
      <c r="B7" s="30" t="s">
        <v>347</v>
      </c>
      <c r="C7" s="30">
        <v>5</v>
      </c>
      <c r="D7" s="30">
        <v>40</v>
      </c>
      <c r="E7" s="30">
        <v>17</v>
      </c>
      <c r="F7" s="30">
        <v>17</v>
      </c>
      <c r="G7" s="30">
        <v>8</v>
      </c>
      <c r="H7">
        <f>C7*E7</f>
        <v>85</v>
      </c>
      <c r="I7">
        <f>D7*E7</f>
        <v>680</v>
      </c>
      <c r="J7" s="34">
        <f t="shared" ref="J7:J19" si="0">C7*60*E7/(1000*G7)</f>
        <v>0.63749999999999996</v>
      </c>
      <c r="K7" s="34">
        <f t="shared" ref="K7:K19" si="1">D7*60*E7/(1000*G7)</f>
        <v>5.0999999999999996</v>
      </c>
    </row>
    <row r="8" spans="1:12" x14ac:dyDescent="0.25">
      <c r="A8" s="33" t="s">
        <v>191</v>
      </c>
      <c r="B8" s="30" t="s">
        <v>347</v>
      </c>
      <c r="C8" s="30">
        <v>10</v>
      </c>
      <c r="D8" s="30">
        <v>50</v>
      </c>
      <c r="E8" s="30">
        <v>25</v>
      </c>
      <c r="F8" s="30" t="s">
        <v>348</v>
      </c>
      <c r="G8" s="30">
        <v>8</v>
      </c>
      <c r="H8">
        <f t="shared" ref="H8:H19" si="2">C8*E8</f>
        <v>250</v>
      </c>
      <c r="I8">
        <f t="shared" ref="I8:I19" si="3">D8*E8</f>
        <v>1250</v>
      </c>
      <c r="J8" s="34">
        <f t="shared" si="0"/>
        <v>1.875</v>
      </c>
      <c r="K8" s="34">
        <f t="shared" si="1"/>
        <v>9.375</v>
      </c>
      <c r="L8" t="s">
        <v>387</v>
      </c>
    </row>
    <row r="9" spans="1:12" x14ac:dyDescent="0.25">
      <c r="A9" s="33" t="s">
        <v>349</v>
      </c>
      <c r="B9" s="30" t="s">
        <v>347</v>
      </c>
      <c r="C9" s="30">
        <v>7.5</v>
      </c>
      <c r="D9" s="30">
        <v>40</v>
      </c>
      <c r="E9" s="30">
        <v>70</v>
      </c>
      <c r="F9" s="30" t="s">
        <v>350</v>
      </c>
      <c r="G9" s="30">
        <v>12</v>
      </c>
      <c r="H9">
        <f t="shared" si="2"/>
        <v>525</v>
      </c>
      <c r="I9">
        <f t="shared" si="3"/>
        <v>2800</v>
      </c>
      <c r="J9" s="34">
        <f t="shared" si="0"/>
        <v>2.625</v>
      </c>
      <c r="K9" s="34">
        <f t="shared" si="1"/>
        <v>14</v>
      </c>
      <c r="L9" t="s">
        <v>386</v>
      </c>
    </row>
    <row r="10" spans="1:12" x14ac:dyDescent="0.25">
      <c r="A10" s="33" t="s">
        <v>254</v>
      </c>
      <c r="B10" s="30" t="s">
        <v>347</v>
      </c>
      <c r="C10" s="30">
        <v>5</v>
      </c>
      <c r="D10" s="30">
        <v>50</v>
      </c>
      <c r="E10" s="30">
        <v>5</v>
      </c>
      <c r="F10" s="30" t="s">
        <v>358</v>
      </c>
      <c r="G10" s="30">
        <v>8</v>
      </c>
      <c r="H10">
        <f t="shared" si="2"/>
        <v>25</v>
      </c>
      <c r="I10">
        <f t="shared" si="3"/>
        <v>250</v>
      </c>
      <c r="J10" s="34">
        <f t="shared" si="0"/>
        <v>0.1875</v>
      </c>
      <c r="K10" s="34">
        <f t="shared" si="1"/>
        <v>1.875</v>
      </c>
      <c r="L10" s="30">
        <v>1.9</v>
      </c>
    </row>
    <row r="11" spans="1:12" x14ac:dyDescent="0.25">
      <c r="A11" s="33" t="s">
        <v>262</v>
      </c>
      <c r="B11" s="30" t="s">
        <v>347</v>
      </c>
      <c r="C11" s="30">
        <v>7.5</v>
      </c>
      <c r="D11" s="30">
        <v>20</v>
      </c>
      <c r="E11" s="30">
        <v>15</v>
      </c>
      <c r="F11" s="30" t="s">
        <v>351</v>
      </c>
      <c r="G11" s="30">
        <v>12</v>
      </c>
      <c r="H11">
        <f t="shared" si="2"/>
        <v>112.5</v>
      </c>
      <c r="I11">
        <f t="shared" si="3"/>
        <v>300</v>
      </c>
      <c r="J11" s="34">
        <f t="shared" si="0"/>
        <v>0.5625</v>
      </c>
      <c r="K11" s="34">
        <f t="shared" si="1"/>
        <v>1.5</v>
      </c>
      <c r="L11" t="s">
        <v>389</v>
      </c>
    </row>
    <row r="12" spans="1:12" x14ac:dyDescent="0.25">
      <c r="A12" s="33" t="s">
        <v>352</v>
      </c>
      <c r="B12" s="30" t="s">
        <v>347</v>
      </c>
      <c r="C12" s="30">
        <v>20</v>
      </c>
      <c r="D12" s="30">
        <v>80</v>
      </c>
      <c r="E12" s="30">
        <v>7</v>
      </c>
      <c r="F12" s="30">
        <v>7</v>
      </c>
      <c r="G12" s="30">
        <v>14</v>
      </c>
      <c r="H12">
        <f t="shared" si="2"/>
        <v>140</v>
      </c>
      <c r="I12">
        <f t="shared" si="3"/>
        <v>560</v>
      </c>
      <c r="J12" s="34">
        <f t="shared" si="0"/>
        <v>0.6</v>
      </c>
      <c r="K12" s="34">
        <f t="shared" si="1"/>
        <v>2.4</v>
      </c>
    </row>
    <row r="13" spans="1:12" x14ac:dyDescent="0.25">
      <c r="A13" s="33" t="s">
        <v>353</v>
      </c>
      <c r="B13" s="30" t="s">
        <v>347</v>
      </c>
      <c r="C13" s="30">
        <v>5</v>
      </c>
      <c r="D13" s="30">
        <v>20</v>
      </c>
      <c r="E13" s="30">
        <v>40</v>
      </c>
      <c r="F13" s="30" t="s">
        <v>354</v>
      </c>
      <c r="G13" s="30">
        <v>12</v>
      </c>
      <c r="H13">
        <f t="shared" si="2"/>
        <v>200</v>
      </c>
      <c r="I13">
        <f t="shared" si="3"/>
        <v>800</v>
      </c>
      <c r="J13" s="34">
        <f t="shared" si="0"/>
        <v>1</v>
      </c>
      <c r="K13" s="34">
        <f t="shared" si="1"/>
        <v>4</v>
      </c>
      <c r="L13" s="35" t="s">
        <v>388</v>
      </c>
    </row>
    <row r="14" spans="1:12" x14ac:dyDescent="0.25">
      <c r="A14" s="33" t="s">
        <v>355</v>
      </c>
      <c r="B14" s="30" t="s">
        <v>347</v>
      </c>
      <c r="C14" s="30">
        <v>5</v>
      </c>
      <c r="D14" s="30">
        <v>30</v>
      </c>
      <c r="E14" s="30">
        <v>120</v>
      </c>
      <c r="F14" s="30">
        <v>120</v>
      </c>
      <c r="G14" s="30">
        <v>40</v>
      </c>
      <c r="H14">
        <f t="shared" si="2"/>
        <v>600</v>
      </c>
      <c r="I14">
        <f t="shared" si="3"/>
        <v>3600</v>
      </c>
      <c r="J14" s="34">
        <f t="shared" si="0"/>
        <v>0.9</v>
      </c>
      <c r="K14" s="34">
        <f t="shared" si="1"/>
        <v>5.4</v>
      </c>
    </row>
    <row r="15" spans="1:12" x14ac:dyDescent="0.25">
      <c r="A15" s="33" t="s">
        <v>356</v>
      </c>
      <c r="B15" s="30" t="s">
        <v>357</v>
      </c>
      <c r="C15" s="30">
        <v>7.5</v>
      </c>
      <c r="D15" s="30">
        <v>60</v>
      </c>
      <c r="E15" s="30">
        <v>3</v>
      </c>
      <c r="F15" s="30" t="s">
        <v>358</v>
      </c>
      <c r="G15" s="30">
        <v>12</v>
      </c>
      <c r="H15">
        <f t="shared" si="2"/>
        <v>22.5</v>
      </c>
      <c r="I15">
        <f t="shared" si="3"/>
        <v>180</v>
      </c>
      <c r="J15" s="34">
        <f t="shared" si="0"/>
        <v>0.1125</v>
      </c>
      <c r="K15" s="34">
        <f t="shared" si="1"/>
        <v>0.9</v>
      </c>
      <c r="L15" s="30">
        <v>0.9</v>
      </c>
    </row>
    <row r="16" spans="1:12" x14ac:dyDescent="0.25">
      <c r="A16" s="33" t="s">
        <v>359</v>
      </c>
      <c r="B16" s="30">
        <v>2</v>
      </c>
      <c r="C16" s="30" t="s">
        <v>347</v>
      </c>
      <c r="D16" s="30">
        <v>180</v>
      </c>
      <c r="E16" s="30">
        <v>10</v>
      </c>
      <c r="F16" s="30">
        <v>10</v>
      </c>
      <c r="G16" s="30">
        <v>12</v>
      </c>
      <c r="H16" t="e">
        <f t="shared" si="2"/>
        <v>#VALUE!</v>
      </c>
      <c r="I16">
        <f t="shared" si="3"/>
        <v>1800</v>
      </c>
      <c r="J16" s="34" t="e">
        <f t="shared" si="0"/>
        <v>#VALUE!</v>
      </c>
      <c r="K16" s="34">
        <f t="shared" si="1"/>
        <v>9</v>
      </c>
    </row>
    <row r="17" spans="1:11" x14ac:dyDescent="0.25">
      <c r="A17" s="33" t="s">
        <v>360</v>
      </c>
      <c r="B17" s="30">
        <v>2</v>
      </c>
      <c r="C17" s="30" t="s">
        <v>347</v>
      </c>
      <c r="D17" s="30">
        <v>80</v>
      </c>
      <c r="E17" s="30">
        <v>3</v>
      </c>
      <c r="F17" s="30" t="s">
        <v>358</v>
      </c>
      <c r="G17" s="30">
        <v>12</v>
      </c>
      <c r="H17" t="e">
        <f t="shared" si="2"/>
        <v>#VALUE!</v>
      </c>
      <c r="I17">
        <f t="shared" si="3"/>
        <v>240</v>
      </c>
      <c r="J17" s="34" t="e">
        <f t="shared" si="0"/>
        <v>#VALUE!</v>
      </c>
      <c r="K17" s="34">
        <f t="shared" si="1"/>
        <v>1.2</v>
      </c>
    </row>
    <row r="18" spans="1:11" x14ac:dyDescent="0.25">
      <c r="A18" s="33" t="s">
        <v>361</v>
      </c>
      <c r="B18" s="30">
        <v>6</v>
      </c>
      <c r="C18" s="30">
        <v>10</v>
      </c>
      <c r="D18" s="30">
        <v>90</v>
      </c>
      <c r="E18" s="30">
        <v>10</v>
      </c>
      <c r="F18" s="30" t="s">
        <v>358</v>
      </c>
      <c r="G18" s="30">
        <v>12</v>
      </c>
      <c r="H18">
        <f t="shared" si="2"/>
        <v>100</v>
      </c>
      <c r="I18">
        <f t="shared" si="3"/>
        <v>900</v>
      </c>
      <c r="J18" s="34">
        <f t="shared" si="0"/>
        <v>0.5</v>
      </c>
      <c r="K18" s="34">
        <f t="shared" si="1"/>
        <v>4.5</v>
      </c>
    </row>
    <row r="19" spans="1:11" x14ac:dyDescent="0.25">
      <c r="A19" s="33" t="s">
        <v>362</v>
      </c>
      <c r="B19" s="30">
        <v>12</v>
      </c>
      <c r="C19" s="30" t="s">
        <v>347</v>
      </c>
      <c r="D19" s="30">
        <v>120</v>
      </c>
      <c r="E19" s="30">
        <v>5</v>
      </c>
      <c r="F19" s="30" t="s">
        <v>358</v>
      </c>
      <c r="G19" s="30">
        <v>12</v>
      </c>
      <c r="H19" t="e">
        <f t="shared" si="2"/>
        <v>#VALUE!</v>
      </c>
      <c r="I19">
        <f t="shared" si="3"/>
        <v>600</v>
      </c>
      <c r="J19" s="34" t="e">
        <f t="shared" si="0"/>
        <v>#VALUE!</v>
      </c>
      <c r="K19" s="34">
        <f t="shared" si="1"/>
        <v>3</v>
      </c>
    </row>
    <row r="21" spans="1:11" s="10" customFormat="1" x14ac:dyDescent="0.25">
      <c r="A21" s="32" t="s">
        <v>363</v>
      </c>
      <c r="B21" s="10" t="s">
        <v>337</v>
      </c>
      <c r="C21" s="31" t="s">
        <v>338</v>
      </c>
      <c r="D21" s="31" t="s">
        <v>338</v>
      </c>
      <c r="E21" s="10" t="s">
        <v>342</v>
      </c>
      <c r="F21" s="36" t="s">
        <v>397</v>
      </c>
      <c r="G21" s="10" t="s">
        <v>344</v>
      </c>
    </row>
    <row r="22" spans="1:11" s="10" customFormat="1" x14ac:dyDescent="0.25">
      <c r="A22" s="32"/>
      <c r="B22" s="10" t="s">
        <v>336</v>
      </c>
      <c r="C22" s="31" t="s">
        <v>339</v>
      </c>
      <c r="D22" s="31" t="s">
        <v>339</v>
      </c>
      <c r="E22" s="10" t="s">
        <v>343</v>
      </c>
      <c r="F22" s="36" t="s">
        <v>63</v>
      </c>
      <c r="G22" s="10" t="s">
        <v>364</v>
      </c>
    </row>
    <row r="23" spans="1:11" s="10" customFormat="1" x14ac:dyDescent="0.25">
      <c r="A23" s="32"/>
      <c r="C23" s="31" t="s">
        <v>340</v>
      </c>
      <c r="D23" s="31" t="s">
        <v>340</v>
      </c>
    </row>
    <row r="24" spans="1:11" s="10" customFormat="1" x14ac:dyDescent="0.25">
      <c r="A24" s="32"/>
      <c r="C24" s="31" t="s">
        <v>393</v>
      </c>
      <c r="D24" s="31" t="s">
        <v>390</v>
      </c>
    </row>
    <row r="25" spans="1:11" s="10" customFormat="1" x14ac:dyDescent="0.25">
      <c r="A25" s="32"/>
      <c r="C25" s="31" t="s">
        <v>394</v>
      </c>
      <c r="D25" s="31" t="s">
        <v>341</v>
      </c>
    </row>
    <row r="26" spans="1:11" x14ac:dyDescent="0.25">
      <c r="A26" s="32" t="s">
        <v>186</v>
      </c>
    </row>
    <row r="27" spans="1:11" x14ac:dyDescent="0.25">
      <c r="A27" s="33" t="s">
        <v>187</v>
      </c>
      <c r="B27">
        <v>30</v>
      </c>
      <c r="C27" s="11">
        <v>25</v>
      </c>
      <c r="D27" s="11">
        <v>25</v>
      </c>
      <c r="E27">
        <v>12</v>
      </c>
      <c r="F27">
        <f>B27*C27</f>
        <v>750</v>
      </c>
      <c r="G27" s="29">
        <f>B27*60*C27/(1000*E27)</f>
        <v>3.75</v>
      </c>
    </row>
    <row r="28" spans="1:11" x14ac:dyDescent="0.25">
      <c r="A28" s="33" t="s">
        <v>188</v>
      </c>
      <c r="B28">
        <v>40</v>
      </c>
      <c r="C28" s="11">
        <v>30</v>
      </c>
      <c r="D28" s="11">
        <v>30</v>
      </c>
      <c r="E28">
        <v>12</v>
      </c>
      <c r="F28">
        <f>B28*C28</f>
        <v>1200</v>
      </c>
      <c r="G28" s="29">
        <f>B28*60*C28/(1000*E28)</f>
        <v>6</v>
      </c>
    </row>
    <row r="29" spans="1:11" x14ac:dyDescent="0.25">
      <c r="A29" s="32" t="s">
        <v>365</v>
      </c>
      <c r="C29" s="11"/>
      <c r="D29" s="11"/>
    </row>
    <row r="30" spans="1:11" x14ac:dyDescent="0.25">
      <c r="A30" s="33" t="s">
        <v>349</v>
      </c>
      <c r="B30">
        <v>60</v>
      </c>
      <c r="C30" s="11">
        <v>70</v>
      </c>
      <c r="D30" s="11" t="s">
        <v>350</v>
      </c>
      <c r="E30">
        <v>12</v>
      </c>
      <c r="F30">
        <f t="shared" ref="F30:F34" si="4">B30*C30</f>
        <v>4200</v>
      </c>
      <c r="G30" s="29">
        <f>B30*60*C30/(1000*E30)</f>
        <v>21</v>
      </c>
    </row>
    <row r="31" spans="1:11" x14ac:dyDescent="0.25">
      <c r="A31" s="33" t="s">
        <v>352</v>
      </c>
      <c r="B31">
        <v>80</v>
      </c>
      <c r="C31" s="11">
        <v>7</v>
      </c>
      <c r="D31" s="11">
        <v>7</v>
      </c>
      <c r="E31">
        <v>12</v>
      </c>
      <c r="F31">
        <f t="shared" si="4"/>
        <v>560</v>
      </c>
      <c r="G31" s="29">
        <f>B31*60*C31/(1000*E31)</f>
        <v>2.8</v>
      </c>
    </row>
    <row r="32" spans="1:11" x14ac:dyDescent="0.25">
      <c r="A32" s="33" t="s">
        <v>346</v>
      </c>
      <c r="B32">
        <v>30</v>
      </c>
      <c r="C32" s="11">
        <v>5</v>
      </c>
      <c r="D32" s="11">
        <v>5</v>
      </c>
      <c r="E32">
        <v>8</v>
      </c>
      <c r="F32">
        <f t="shared" si="4"/>
        <v>150</v>
      </c>
      <c r="G32" s="29">
        <f>B32*60*C32/(1000*E32)</f>
        <v>1.125</v>
      </c>
    </row>
    <row r="33" spans="1:11" x14ac:dyDescent="0.25">
      <c r="A33" s="33" t="s">
        <v>262</v>
      </c>
      <c r="B33">
        <v>40</v>
      </c>
      <c r="C33" s="11">
        <v>15</v>
      </c>
      <c r="D33" s="11" t="s">
        <v>351</v>
      </c>
      <c r="E33">
        <v>12</v>
      </c>
      <c r="F33">
        <f t="shared" si="4"/>
        <v>600</v>
      </c>
      <c r="G33" s="29">
        <f>B33*60*C33/(1000*E33)</f>
        <v>3</v>
      </c>
    </row>
    <row r="34" spans="1:11" x14ac:dyDescent="0.25">
      <c r="A34" s="33" t="s">
        <v>406</v>
      </c>
      <c r="B34">
        <v>60</v>
      </c>
      <c r="C34" s="11">
        <v>100</v>
      </c>
      <c r="D34" s="11">
        <v>100</v>
      </c>
      <c r="E34">
        <v>30</v>
      </c>
      <c r="F34">
        <f t="shared" si="4"/>
        <v>6000</v>
      </c>
      <c r="G34" s="29">
        <f>B34*60*C34/(1000*E34)</f>
        <v>12</v>
      </c>
    </row>
    <row r="35" spans="1:11" x14ac:dyDescent="0.25">
      <c r="A35" s="32" t="s">
        <v>191</v>
      </c>
      <c r="C35" s="11"/>
      <c r="D35" s="11"/>
    </row>
    <row r="36" spans="1:11" x14ac:dyDescent="0.25">
      <c r="A36" s="33" t="s">
        <v>366</v>
      </c>
      <c r="B36">
        <v>40</v>
      </c>
      <c r="C36" s="11">
        <v>25</v>
      </c>
      <c r="D36" s="11" t="s">
        <v>367</v>
      </c>
      <c r="E36">
        <v>8</v>
      </c>
      <c r="F36">
        <f t="shared" ref="F36:F37" si="5">B36*C36</f>
        <v>1000</v>
      </c>
      <c r="G36" s="29">
        <f>B36*60*C36/(1000*E36)</f>
        <v>7.5</v>
      </c>
    </row>
    <row r="37" spans="1:11" x14ac:dyDescent="0.25">
      <c r="A37" s="33" t="s">
        <v>368</v>
      </c>
      <c r="B37">
        <v>50</v>
      </c>
      <c r="C37" s="11">
        <v>65</v>
      </c>
      <c r="D37" s="11" t="s">
        <v>395</v>
      </c>
      <c r="E37">
        <v>40</v>
      </c>
      <c r="F37">
        <f t="shared" si="5"/>
        <v>3250</v>
      </c>
      <c r="G37" s="29">
        <f>B37*60*C37/(1000*E37)</f>
        <v>4.875</v>
      </c>
    </row>
    <row r="38" spans="1:11" x14ac:dyDescent="0.25">
      <c r="A38" s="32" t="s">
        <v>369</v>
      </c>
      <c r="C38" s="11"/>
      <c r="D38" s="11"/>
    </row>
    <row r="39" spans="1:11" x14ac:dyDescent="0.25">
      <c r="A39" s="33" t="s">
        <v>370</v>
      </c>
      <c r="B39">
        <v>50</v>
      </c>
      <c r="C39" s="11">
        <v>7</v>
      </c>
      <c r="D39" s="11">
        <v>7</v>
      </c>
      <c r="E39">
        <v>12</v>
      </c>
      <c r="F39">
        <f t="shared" ref="F39:F41" si="6">B39*C39</f>
        <v>350</v>
      </c>
      <c r="G39" s="29">
        <f>B39*60*C39/(1000*E39)</f>
        <v>1.75</v>
      </c>
    </row>
    <row r="40" spans="1:11" x14ac:dyDescent="0.25">
      <c r="A40" s="33" t="s">
        <v>241</v>
      </c>
      <c r="B40">
        <v>20</v>
      </c>
      <c r="C40" s="11">
        <v>7</v>
      </c>
      <c r="D40" s="11">
        <v>7</v>
      </c>
      <c r="E40">
        <v>12</v>
      </c>
      <c r="F40">
        <f t="shared" si="6"/>
        <v>140</v>
      </c>
      <c r="G40" s="29">
        <f>B40*60*C40/(1000*E40)</f>
        <v>0.7</v>
      </c>
    </row>
    <row r="41" spans="1:11" x14ac:dyDescent="0.25">
      <c r="A41" s="33" t="s">
        <v>371</v>
      </c>
      <c r="B41">
        <v>20</v>
      </c>
      <c r="C41" s="11">
        <v>2</v>
      </c>
      <c r="D41" s="11">
        <v>2</v>
      </c>
      <c r="E41">
        <v>12</v>
      </c>
      <c r="F41">
        <f t="shared" si="6"/>
        <v>40</v>
      </c>
      <c r="G41" s="29">
        <f>B41*60*C41/(1000*E41)</f>
        <v>0.2</v>
      </c>
    </row>
    <row r="42" spans="1:11" x14ac:dyDescent="0.25">
      <c r="A42" s="32" t="s">
        <v>372</v>
      </c>
      <c r="C42" s="11"/>
      <c r="D42" s="11"/>
    </row>
    <row r="43" spans="1:11" x14ac:dyDescent="0.25">
      <c r="A43" s="33" t="s">
        <v>373</v>
      </c>
      <c r="B43">
        <v>40</v>
      </c>
      <c r="C43" s="11">
        <v>20</v>
      </c>
      <c r="D43" s="11">
        <v>20</v>
      </c>
      <c r="E43">
        <v>12</v>
      </c>
      <c r="F43">
        <f t="shared" ref="F43:F47" si="7">B43*C43</f>
        <v>800</v>
      </c>
      <c r="G43" s="29">
        <f>B43*60*C43/(1000*E43)</f>
        <v>4</v>
      </c>
      <c r="K43" t="s">
        <v>296</v>
      </c>
    </row>
    <row r="44" spans="1:11" x14ac:dyDescent="0.25">
      <c r="A44" s="33" t="s">
        <v>374</v>
      </c>
      <c r="B44">
        <v>70</v>
      </c>
      <c r="C44" s="11">
        <v>20</v>
      </c>
      <c r="D44" s="11">
        <v>20</v>
      </c>
      <c r="E44">
        <v>12</v>
      </c>
      <c r="F44">
        <f t="shared" si="7"/>
        <v>1400</v>
      </c>
      <c r="G44" s="29">
        <f>B44*60*C44/(1000*E44)</f>
        <v>7</v>
      </c>
      <c r="K44" t="s">
        <v>296</v>
      </c>
    </row>
    <row r="45" spans="1:11" x14ac:dyDescent="0.25">
      <c r="A45" s="33" t="s">
        <v>375</v>
      </c>
      <c r="B45">
        <v>70</v>
      </c>
      <c r="C45" s="11">
        <v>10</v>
      </c>
      <c r="D45" s="11">
        <v>10</v>
      </c>
      <c r="E45">
        <v>12</v>
      </c>
      <c r="F45">
        <f t="shared" si="7"/>
        <v>700</v>
      </c>
      <c r="G45" s="29">
        <f>B45*60*C45/(1000*E45)</f>
        <v>3.5</v>
      </c>
      <c r="K45" t="s">
        <v>296</v>
      </c>
    </row>
    <row r="46" spans="1:11" x14ac:dyDescent="0.25">
      <c r="A46" s="33" t="s">
        <v>376</v>
      </c>
      <c r="B46">
        <v>50</v>
      </c>
      <c r="C46" s="11">
        <v>4</v>
      </c>
      <c r="D46" s="11" t="s">
        <v>358</v>
      </c>
      <c r="E46">
        <v>12</v>
      </c>
      <c r="F46">
        <f t="shared" si="7"/>
        <v>200</v>
      </c>
      <c r="G46" s="29">
        <f>B46*60*C46/(1000*E46)</f>
        <v>1</v>
      </c>
      <c r="K46" t="s">
        <v>296</v>
      </c>
    </row>
    <row r="47" spans="1:11" x14ac:dyDescent="0.25">
      <c r="A47" s="33" t="s">
        <v>377</v>
      </c>
      <c r="B47">
        <v>90</v>
      </c>
      <c r="C47" s="11">
        <v>10</v>
      </c>
      <c r="D47" s="11" t="s">
        <v>358</v>
      </c>
      <c r="E47">
        <v>12</v>
      </c>
      <c r="F47">
        <f t="shared" si="7"/>
        <v>900</v>
      </c>
      <c r="G47" s="29">
        <f>B47*60*C47/(1000*E47)</f>
        <v>4.5</v>
      </c>
      <c r="K47" t="s">
        <v>296</v>
      </c>
    </row>
    <row r="48" spans="1:11" x14ac:dyDescent="0.25">
      <c r="A48" s="32" t="s">
        <v>378</v>
      </c>
      <c r="C48" s="11"/>
      <c r="D48" s="11"/>
    </row>
    <row r="49" spans="1:7" x14ac:dyDescent="0.25">
      <c r="A49" s="33" t="s">
        <v>379</v>
      </c>
      <c r="B49">
        <v>50</v>
      </c>
      <c r="C49" s="11">
        <v>150</v>
      </c>
      <c r="D49" s="11">
        <v>150</v>
      </c>
      <c r="E49">
        <v>40</v>
      </c>
      <c r="F49">
        <f t="shared" ref="F49:F54" si="8">B49*C49</f>
        <v>7500</v>
      </c>
      <c r="G49" s="29">
        <f t="shared" ref="G49:G54" si="9">B49*60*C49/(1000*E49)</f>
        <v>11.25</v>
      </c>
    </row>
    <row r="50" spans="1:7" x14ac:dyDescent="0.25">
      <c r="A50" s="33" t="s">
        <v>380</v>
      </c>
      <c r="B50">
        <v>50</v>
      </c>
      <c r="C50" s="11">
        <v>120</v>
      </c>
      <c r="D50" s="11">
        <v>120</v>
      </c>
      <c r="E50">
        <v>40</v>
      </c>
      <c r="F50">
        <f t="shared" si="8"/>
        <v>6000</v>
      </c>
      <c r="G50" s="29">
        <f t="shared" si="9"/>
        <v>9</v>
      </c>
    </row>
    <row r="51" spans="1:7" x14ac:dyDescent="0.25">
      <c r="A51" s="33" t="s">
        <v>381</v>
      </c>
      <c r="B51">
        <v>60</v>
      </c>
      <c r="C51" s="11">
        <v>40</v>
      </c>
      <c r="D51" s="11">
        <v>40</v>
      </c>
      <c r="E51">
        <v>12</v>
      </c>
      <c r="F51">
        <f t="shared" si="8"/>
        <v>2400</v>
      </c>
      <c r="G51" s="29">
        <f t="shared" si="9"/>
        <v>12</v>
      </c>
    </row>
    <row r="52" spans="1:7" x14ac:dyDescent="0.25">
      <c r="A52" s="33" t="s">
        <v>382</v>
      </c>
      <c r="B52">
        <v>60</v>
      </c>
      <c r="C52" s="11">
        <v>40</v>
      </c>
      <c r="D52" s="11" t="s">
        <v>358</v>
      </c>
      <c r="E52">
        <v>12</v>
      </c>
      <c r="F52">
        <f t="shared" si="8"/>
        <v>2400</v>
      </c>
      <c r="G52" s="29">
        <f t="shared" si="9"/>
        <v>12</v>
      </c>
    </row>
    <row r="53" spans="1:7" x14ac:dyDescent="0.25">
      <c r="A53" s="33" t="s">
        <v>383</v>
      </c>
      <c r="B53">
        <v>50</v>
      </c>
      <c r="C53" s="11">
        <v>40</v>
      </c>
      <c r="D53" s="11" t="s">
        <v>358</v>
      </c>
      <c r="E53">
        <v>12</v>
      </c>
      <c r="F53">
        <f t="shared" si="8"/>
        <v>2000</v>
      </c>
      <c r="G53" s="29">
        <f t="shared" si="9"/>
        <v>10</v>
      </c>
    </row>
    <row r="54" spans="1:7" x14ac:dyDescent="0.25">
      <c r="A54" s="33" t="s">
        <v>251</v>
      </c>
      <c r="B54">
        <v>50</v>
      </c>
      <c r="C54" s="11">
        <v>10</v>
      </c>
      <c r="D54" s="11">
        <v>150</v>
      </c>
      <c r="E54">
        <v>12</v>
      </c>
      <c r="F54">
        <f t="shared" si="8"/>
        <v>500</v>
      </c>
      <c r="G54" s="29">
        <f t="shared" si="9"/>
        <v>2.5</v>
      </c>
    </row>
    <row r="55" spans="1:7" x14ac:dyDescent="0.25">
      <c r="A55" s="32" t="s">
        <v>254</v>
      </c>
      <c r="C55" s="11"/>
      <c r="D55" s="11"/>
    </row>
    <row r="56" spans="1:7" x14ac:dyDescent="0.25">
      <c r="A56" s="33" t="s">
        <v>384</v>
      </c>
      <c r="B56">
        <v>50</v>
      </c>
      <c r="C56" s="11">
        <v>5</v>
      </c>
      <c r="D56" s="11" t="s">
        <v>358</v>
      </c>
      <c r="E56">
        <v>8</v>
      </c>
      <c r="F56">
        <f t="shared" ref="F56:F57" si="10">B56*C56</f>
        <v>250</v>
      </c>
      <c r="G56" s="29">
        <f>B56*60*C56/(1000*E56)</f>
        <v>1.875</v>
      </c>
    </row>
    <row r="57" spans="1:7" x14ac:dyDescent="0.25">
      <c r="A57" s="33" t="s">
        <v>385</v>
      </c>
      <c r="B57">
        <v>30</v>
      </c>
      <c r="C57" s="11">
        <v>5</v>
      </c>
      <c r="D57" s="11" t="s">
        <v>358</v>
      </c>
      <c r="E57">
        <v>8</v>
      </c>
      <c r="F57">
        <f t="shared" si="10"/>
        <v>150</v>
      </c>
      <c r="G57" s="29">
        <f>B57*60*C57/(1000*E57)</f>
        <v>1.125</v>
      </c>
    </row>
    <row r="58" spans="1:7" x14ac:dyDescent="0.25">
      <c r="E58" s="29"/>
    </row>
    <row r="59" spans="1:7" x14ac:dyDescent="0.25">
      <c r="A59" s="32" t="s">
        <v>363</v>
      </c>
      <c r="B59" s="10" t="s">
        <v>337</v>
      </c>
      <c r="C59" s="10" t="s">
        <v>399</v>
      </c>
      <c r="D59" s="31" t="s">
        <v>338</v>
      </c>
      <c r="E59" s="10" t="s">
        <v>342</v>
      </c>
      <c r="F59" s="36" t="s">
        <v>397</v>
      </c>
      <c r="G59" s="10" t="s">
        <v>331</v>
      </c>
    </row>
    <row r="60" spans="1:7" x14ac:dyDescent="0.25">
      <c r="A60" s="32"/>
      <c r="B60" s="10" t="s">
        <v>336</v>
      </c>
      <c r="C60" s="10" t="s">
        <v>336</v>
      </c>
      <c r="D60" s="31" t="s">
        <v>339</v>
      </c>
      <c r="E60" s="10" t="s">
        <v>343</v>
      </c>
      <c r="F60" s="36" t="s">
        <v>63</v>
      </c>
      <c r="G60" s="10" t="s">
        <v>398</v>
      </c>
    </row>
    <row r="61" spans="1:7" x14ac:dyDescent="0.25">
      <c r="A61" s="32"/>
      <c r="B61" s="32"/>
      <c r="C61" s="10"/>
      <c r="D61" s="31" t="s">
        <v>340</v>
      </c>
      <c r="E61" s="10"/>
      <c r="F61" s="10"/>
      <c r="G61" s="10"/>
    </row>
    <row r="62" spans="1:7" x14ac:dyDescent="0.25">
      <c r="A62" s="32"/>
      <c r="B62" s="32"/>
      <c r="C62" s="10"/>
      <c r="D62" s="31" t="s">
        <v>393</v>
      </c>
      <c r="E62" s="10"/>
      <c r="F62" s="10"/>
      <c r="G62" s="10"/>
    </row>
    <row r="63" spans="1:7" x14ac:dyDescent="0.25">
      <c r="A63" s="32"/>
      <c r="B63" s="32"/>
      <c r="C63" s="10"/>
      <c r="D63" s="31" t="s">
        <v>394</v>
      </c>
      <c r="E63" s="10"/>
      <c r="F63" s="10"/>
      <c r="G63" s="10"/>
    </row>
    <row r="64" spans="1:7" x14ac:dyDescent="0.25">
      <c r="A64" s="32" t="s">
        <v>186</v>
      </c>
    </row>
    <row r="65" spans="1:7" x14ac:dyDescent="0.25">
      <c r="A65" s="33" t="s">
        <v>187</v>
      </c>
      <c r="B65">
        <v>30</v>
      </c>
      <c r="C65" s="37">
        <f>F65/D65</f>
        <v>40</v>
      </c>
      <c r="D65" s="11">
        <v>25</v>
      </c>
      <c r="E65">
        <v>12</v>
      </c>
      <c r="F65" s="37">
        <f>1000*E65*G65/60</f>
        <v>1000</v>
      </c>
      <c r="G65" s="29">
        <v>5</v>
      </c>
    </row>
    <row r="66" spans="1:7" x14ac:dyDescent="0.25">
      <c r="A66" s="33" t="s">
        <v>188</v>
      </c>
      <c r="B66">
        <v>40</v>
      </c>
      <c r="C66" s="37">
        <f>F66/D66</f>
        <v>33.333333333333336</v>
      </c>
      <c r="D66" s="11">
        <v>30</v>
      </c>
      <c r="E66">
        <v>12</v>
      </c>
      <c r="F66" s="37">
        <f>1000*E66*G66/60</f>
        <v>1000</v>
      </c>
      <c r="G66" s="29">
        <f>G65</f>
        <v>5</v>
      </c>
    </row>
    <row r="67" spans="1:7" x14ac:dyDescent="0.25">
      <c r="A67" s="32" t="s">
        <v>365</v>
      </c>
      <c r="D67" s="11"/>
    </row>
    <row r="68" spans="1:7" x14ac:dyDescent="0.25">
      <c r="A68" s="33" t="s">
        <v>349</v>
      </c>
      <c r="B68">
        <v>60</v>
      </c>
      <c r="C68" s="37">
        <f>F68/D68</f>
        <v>14.285714285714286</v>
      </c>
      <c r="D68" s="11">
        <v>70</v>
      </c>
      <c r="E68">
        <v>12</v>
      </c>
      <c r="F68" s="37">
        <f t="shared" ref="F68:F72" si="11">1000*E68*G68/60</f>
        <v>1000</v>
      </c>
      <c r="G68" s="29">
        <v>5</v>
      </c>
    </row>
    <row r="69" spans="1:7" x14ac:dyDescent="0.25">
      <c r="A69" s="33" t="s">
        <v>352</v>
      </c>
      <c r="B69">
        <v>80</v>
      </c>
      <c r="C69" s="37">
        <f>F69/D69</f>
        <v>142.85714285714286</v>
      </c>
      <c r="D69" s="11">
        <v>7</v>
      </c>
      <c r="E69">
        <v>12</v>
      </c>
      <c r="F69" s="37">
        <f t="shared" si="11"/>
        <v>1000</v>
      </c>
      <c r="G69" s="29">
        <v>5</v>
      </c>
    </row>
    <row r="70" spans="1:7" x14ac:dyDescent="0.25">
      <c r="A70" s="33" t="s">
        <v>346</v>
      </c>
      <c r="B70">
        <v>30</v>
      </c>
      <c r="C70" s="37">
        <f>F70/D70</f>
        <v>133.33333333333331</v>
      </c>
      <c r="D70" s="11">
        <v>5</v>
      </c>
      <c r="E70">
        <v>8</v>
      </c>
      <c r="F70" s="37">
        <f t="shared" si="11"/>
        <v>666.66666666666663</v>
      </c>
      <c r="G70" s="29">
        <v>5</v>
      </c>
    </row>
    <row r="71" spans="1:7" x14ac:dyDescent="0.25">
      <c r="A71" s="33" t="s">
        <v>262</v>
      </c>
      <c r="B71">
        <v>40</v>
      </c>
      <c r="C71" s="37">
        <f>F71/D71</f>
        <v>66.666666666666671</v>
      </c>
      <c r="D71" s="11">
        <v>15</v>
      </c>
      <c r="E71">
        <v>12</v>
      </c>
      <c r="F71" s="37">
        <f t="shared" si="11"/>
        <v>1000</v>
      </c>
      <c r="G71" s="29">
        <v>5</v>
      </c>
    </row>
    <row r="72" spans="1:7" x14ac:dyDescent="0.25">
      <c r="A72" s="33" t="s">
        <v>406</v>
      </c>
      <c r="B72">
        <v>60</v>
      </c>
      <c r="C72" s="37">
        <f>F72/D72</f>
        <v>25</v>
      </c>
      <c r="D72" s="11">
        <v>100</v>
      </c>
      <c r="E72">
        <v>30</v>
      </c>
      <c r="F72" s="37">
        <f t="shared" si="11"/>
        <v>2500</v>
      </c>
      <c r="G72" s="29">
        <v>5</v>
      </c>
    </row>
    <row r="73" spans="1:7" x14ac:dyDescent="0.25">
      <c r="A73" s="32" t="s">
        <v>191</v>
      </c>
      <c r="D73" s="11"/>
    </row>
    <row r="74" spans="1:7" x14ac:dyDescent="0.25">
      <c r="A74" s="33" t="s">
        <v>366</v>
      </c>
      <c r="B74">
        <v>40</v>
      </c>
      <c r="C74" s="37">
        <f>F74/D74</f>
        <v>26.666666666666664</v>
      </c>
      <c r="D74" s="11">
        <v>25</v>
      </c>
      <c r="E74">
        <v>8</v>
      </c>
      <c r="F74" s="37">
        <f t="shared" ref="F74:F75" si="12">1000*E74*G74/60</f>
        <v>666.66666666666663</v>
      </c>
      <c r="G74" s="29">
        <v>5</v>
      </c>
    </row>
    <row r="75" spans="1:7" x14ac:dyDescent="0.25">
      <c r="A75" s="33" t="s">
        <v>368</v>
      </c>
      <c r="B75">
        <v>50</v>
      </c>
      <c r="C75" s="37">
        <f>F75/D75</f>
        <v>51.282051282051285</v>
      </c>
      <c r="D75" s="11">
        <v>65</v>
      </c>
      <c r="E75">
        <v>40</v>
      </c>
      <c r="F75" s="37">
        <f t="shared" si="12"/>
        <v>3333.3333333333335</v>
      </c>
      <c r="G75" s="29">
        <v>5</v>
      </c>
    </row>
    <row r="76" spans="1:7" x14ac:dyDescent="0.25">
      <c r="A76" s="32" t="s">
        <v>369</v>
      </c>
      <c r="D76" s="11"/>
    </row>
    <row r="77" spans="1:7" x14ac:dyDescent="0.25">
      <c r="A77" s="33" t="s">
        <v>370</v>
      </c>
      <c r="B77">
        <v>50</v>
      </c>
      <c r="C77" s="37">
        <f>F77/D77</f>
        <v>142.85714285714286</v>
      </c>
      <c r="D77" s="11">
        <v>7</v>
      </c>
      <c r="E77">
        <v>12</v>
      </c>
      <c r="F77" s="37">
        <f t="shared" ref="F77:F79" si="13">1000*E77*G77/60</f>
        <v>1000</v>
      </c>
      <c r="G77" s="29">
        <v>5</v>
      </c>
    </row>
    <row r="78" spans="1:7" x14ac:dyDescent="0.25">
      <c r="A78" s="33" t="s">
        <v>241</v>
      </c>
      <c r="B78">
        <v>20</v>
      </c>
      <c r="C78" s="37">
        <f>F78/D78</f>
        <v>142.85714285714286</v>
      </c>
      <c r="D78" s="11">
        <v>7</v>
      </c>
      <c r="E78">
        <v>12</v>
      </c>
      <c r="F78" s="37">
        <f t="shared" si="13"/>
        <v>1000</v>
      </c>
      <c r="G78" s="29">
        <v>5</v>
      </c>
    </row>
    <row r="79" spans="1:7" x14ac:dyDescent="0.25">
      <c r="A79" s="33" t="s">
        <v>371</v>
      </c>
      <c r="B79">
        <v>20</v>
      </c>
      <c r="C79" s="37">
        <f>F79/D79</f>
        <v>500</v>
      </c>
      <c r="D79" s="11">
        <v>2</v>
      </c>
      <c r="E79">
        <v>12</v>
      </c>
      <c r="F79" s="37">
        <f t="shared" si="13"/>
        <v>1000</v>
      </c>
      <c r="G79" s="29">
        <v>5</v>
      </c>
    </row>
    <row r="80" spans="1:7" x14ac:dyDescent="0.25">
      <c r="A80" s="32" t="s">
        <v>372</v>
      </c>
      <c r="D80" s="11"/>
    </row>
    <row r="81" spans="1:7" x14ac:dyDescent="0.25">
      <c r="A81" s="33" t="s">
        <v>373</v>
      </c>
      <c r="B81">
        <v>40</v>
      </c>
      <c r="C81" s="37">
        <f>F81/D81</f>
        <v>50</v>
      </c>
      <c r="D81" s="11">
        <v>20</v>
      </c>
      <c r="E81">
        <v>12</v>
      </c>
      <c r="F81" s="37">
        <f t="shared" ref="F81:F85" si="14">1000*E81*G81/60</f>
        <v>1000</v>
      </c>
      <c r="G81" s="29">
        <v>5</v>
      </c>
    </row>
    <row r="82" spans="1:7" x14ac:dyDescent="0.25">
      <c r="A82" s="33" t="s">
        <v>374</v>
      </c>
      <c r="B82">
        <v>70</v>
      </c>
      <c r="C82" s="37">
        <f>F82/D82</f>
        <v>50</v>
      </c>
      <c r="D82" s="11">
        <v>20</v>
      </c>
      <c r="E82">
        <v>12</v>
      </c>
      <c r="F82" s="37">
        <f t="shared" si="14"/>
        <v>1000</v>
      </c>
      <c r="G82" s="29">
        <v>5</v>
      </c>
    </row>
    <row r="83" spans="1:7" x14ac:dyDescent="0.25">
      <c r="A83" s="33" t="s">
        <v>375</v>
      </c>
      <c r="B83">
        <v>70</v>
      </c>
      <c r="C83" s="37">
        <f>F83/D83</f>
        <v>100</v>
      </c>
      <c r="D83" s="11">
        <v>10</v>
      </c>
      <c r="E83">
        <v>12</v>
      </c>
      <c r="F83" s="37">
        <f t="shared" si="14"/>
        <v>1000</v>
      </c>
      <c r="G83" s="29">
        <v>5</v>
      </c>
    </row>
    <row r="84" spans="1:7" x14ac:dyDescent="0.25">
      <c r="A84" s="33" t="s">
        <v>376</v>
      </c>
      <c r="B84">
        <v>50</v>
      </c>
      <c r="C84" s="37">
        <f>F84/D84</f>
        <v>250</v>
      </c>
      <c r="D84" s="11">
        <v>4</v>
      </c>
      <c r="E84">
        <v>12</v>
      </c>
      <c r="F84" s="37">
        <f t="shared" si="14"/>
        <v>1000</v>
      </c>
      <c r="G84" s="29">
        <v>5</v>
      </c>
    </row>
    <row r="85" spans="1:7" x14ac:dyDescent="0.25">
      <c r="A85" s="33" t="s">
        <v>377</v>
      </c>
      <c r="B85">
        <v>90</v>
      </c>
      <c r="C85" s="37">
        <f>F85/D85</f>
        <v>100</v>
      </c>
      <c r="D85" s="11">
        <v>10</v>
      </c>
      <c r="E85">
        <v>12</v>
      </c>
      <c r="F85" s="37">
        <f t="shared" si="14"/>
        <v>1000</v>
      </c>
      <c r="G85" s="29">
        <v>5</v>
      </c>
    </row>
    <row r="86" spans="1:7" x14ac:dyDescent="0.25">
      <c r="A86" s="32" t="s">
        <v>378</v>
      </c>
      <c r="D86" s="11"/>
    </row>
    <row r="87" spans="1:7" x14ac:dyDescent="0.25">
      <c r="A87" s="33" t="s">
        <v>379</v>
      </c>
      <c r="B87">
        <v>50</v>
      </c>
      <c r="C87" s="37">
        <f t="shared" ref="C87:C92" si="15">F87/D87</f>
        <v>22.222222222222225</v>
      </c>
      <c r="D87" s="11">
        <v>150</v>
      </c>
      <c r="E87">
        <v>40</v>
      </c>
      <c r="F87" s="37">
        <f t="shared" ref="F87:F95" si="16">1000*E87*G87/60</f>
        <v>3333.3333333333335</v>
      </c>
      <c r="G87" s="29">
        <v>5</v>
      </c>
    </row>
    <row r="88" spans="1:7" x14ac:dyDescent="0.25">
      <c r="A88" s="33" t="s">
        <v>380</v>
      </c>
      <c r="B88">
        <v>50</v>
      </c>
      <c r="C88" s="37">
        <f t="shared" si="15"/>
        <v>27.777777777777779</v>
      </c>
      <c r="D88" s="11">
        <v>120</v>
      </c>
      <c r="E88">
        <v>40</v>
      </c>
      <c r="F88" s="37">
        <f t="shared" si="16"/>
        <v>3333.3333333333335</v>
      </c>
      <c r="G88" s="29">
        <v>5</v>
      </c>
    </row>
    <row r="89" spans="1:7" x14ac:dyDescent="0.25">
      <c r="A89" s="33" t="s">
        <v>381</v>
      </c>
      <c r="B89">
        <v>60</v>
      </c>
      <c r="C89" s="37">
        <f t="shared" si="15"/>
        <v>25</v>
      </c>
      <c r="D89" s="11">
        <v>40</v>
      </c>
      <c r="E89">
        <v>12</v>
      </c>
      <c r="F89" s="37">
        <f t="shared" si="16"/>
        <v>1000</v>
      </c>
      <c r="G89" s="29">
        <v>5</v>
      </c>
    </row>
    <row r="90" spans="1:7" x14ac:dyDescent="0.25">
      <c r="A90" s="33" t="s">
        <v>382</v>
      </c>
      <c r="B90">
        <v>60</v>
      </c>
      <c r="C90" s="37">
        <f t="shared" si="15"/>
        <v>25</v>
      </c>
      <c r="D90" s="11">
        <v>40</v>
      </c>
      <c r="E90">
        <v>12</v>
      </c>
      <c r="F90" s="37">
        <f t="shared" si="16"/>
        <v>1000</v>
      </c>
      <c r="G90" s="29">
        <v>5</v>
      </c>
    </row>
    <row r="91" spans="1:7" x14ac:dyDescent="0.25">
      <c r="A91" s="33" t="s">
        <v>383</v>
      </c>
      <c r="B91">
        <v>50</v>
      </c>
      <c r="C91" s="37">
        <f t="shared" si="15"/>
        <v>25</v>
      </c>
      <c r="D91" s="11">
        <v>40</v>
      </c>
      <c r="E91">
        <v>12</v>
      </c>
      <c r="F91" s="37">
        <f t="shared" si="16"/>
        <v>1000</v>
      </c>
      <c r="G91" s="29">
        <v>5</v>
      </c>
    </row>
    <row r="92" spans="1:7" x14ac:dyDescent="0.25">
      <c r="A92" s="33" t="s">
        <v>251</v>
      </c>
      <c r="B92">
        <v>50</v>
      </c>
      <c r="C92" s="37">
        <f t="shared" si="15"/>
        <v>100</v>
      </c>
      <c r="D92" s="11">
        <v>10</v>
      </c>
      <c r="E92">
        <v>12</v>
      </c>
      <c r="F92" s="37">
        <f t="shared" si="16"/>
        <v>1000</v>
      </c>
      <c r="G92" s="29">
        <v>5</v>
      </c>
    </row>
    <row r="93" spans="1:7" x14ac:dyDescent="0.25">
      <c r="A93" s="32" t="s">
        <v>254</v>
      </c>
      <c r="D93" s="11"/>
    </row>
    <row r="94" spans="1:7" x14ac:dyDescent="0.25">
      <c r="A94" s="33" t="s">
        <v>384</v>
      </c>
      <c r="B94">
        <v>50</v>
      </c>
      <c r="C94" s="37">
        <f>F94/D94</f>
        <v>133.33333333333331</v>
      </c>
      <c r="D94" s="11">
        <v>5</v>
      </c>
      <c r="E94">
        <v>8</v>
      </c>
      <c r="F94" s="37">
        <f t="shared" si="16"/>
        <v>666.66666666666663</v>
      </c>
      <c r="G94" s="29">
        <v>5</v>
      </c>
    </row>
    <row r="95" spans="1:7" x14ac:dyDescent="0.25">
      <c r="A95" s="33" t="s">
        <v>385</v>
      </c>
      <c r="B95">
        <v>30</v>
      </c>
      <c r="C95" s="37">
        <f>F95/D95</f>
        <v>133.33333333333331</v>
      </c>
      <c r="D95" s="11">
        <v>5</v>
      </c>
      <c r="E95">
        <v>8</v>
      </c>
      <c r="F95" s="37">
        <f t="shared" si="16"/>
        <v>666.66666666666663</v>
      </c>
      <c r="G95" s="29">
        <v>5</v>
      </c>
    </row>
    <row r="98" spans="1:9" s="17" customFormat="1" ht="45" x14ac:dyDescent="0.25">
      <c r="A98" s="38"/>
      <c r="B98" s="17" t="s">
        <v>331</v>
      </c>
      <c r="C98" s="17" t="s">
        <v>400</v>
      </c>
      <c r="D98" s="17" t="s">
        <v>401</v>
      </c>
      <c r="E98" s="17" t="s">
        <v>402</v>
      </c>
      <c r="F98" s="17" t="s">
        <v>403</v>
      </c>
      <c r="G98" s="17" t="s">
        <v>404</v>
      </c>
      <c r="H98" s="17" t="s">
        <v>405</v>
      </c>
      <c r="I98" s="17" t="s">
        <v>407</v>
      </c>
    </row>
    <row r="99" spans="1:9" x14ac:dyDescent="0.25">
      <c r="A99" s="17"/>
      <c r="B99">
        <v>5</v>
      </c>
      <c r="C99" s="25">
        <f>$B99*1000*8/60</f>
        <v>666.66666666666663</v>
      </c>
      <c r="D99" s="25">
        <f>$B99*1000*10/60</f>
        <v>833.33333333333337</v>
      </c>
      <c r="E99" s="25">
        <f>$B99*1000*12/60</f>
        <v>1000</v>
      </c>
      <c r="F99" s="25">
        <f>$B99*10000*12/60</f>
        <v>10000</v>
      </c>
      <c r="G99" s="25">
        <f>$B99*10000*24/60</f>
        <v>20000</v>
      </c>
      <c r="H99" s="25">
        <f>$B99*10000*40/60</f>
        <v>33333.333333333336</v>
      </c>
      <c r="I99">
        <f>C99*60</f>
        <v>40000</v>
      </c>
    </row>
    <row r="100" spans="1:9" x14ac:dyDescent="0.25">
      <c r="A100" s="33" t="s">
        <v>408</v>
      </c>
      <c r="B100">
        <v>6</v>
      </c>
      <c r="C100" s="25">
        <f t="shared" ref="C100:C112" si="17">$B100*1000*8/60</f>
        <v>800</v>
      </c>
      <c r="D100" s="25">
        <f t="shared" ref="D100:D112" si="18">$B100*1000*10/60</f>
        <v>1000</v>
      </c>
      <c r="E100" s="25">
        <f t="shared" ref="E100:E112" si="19">$B100*1000*12/60</f>
        <v>1200</v>
      </c>
      <c r="F100" s="25">
        <f t="shared" ref="F100:F112" si="20">$B100*10000*12/60</f>
        <v>12000</v>
      </c>
      <c r="G100" s="25">
        <f t="shared" ref="G100:G112" si="21">$B100*10000*24/60</f>
        <v>24000</v>
      </c>
      <c r="H100" s="25">
        <f t="shared" ref="H100:H112" si="22">$B100*10000*40/60</f>
        <v>40000</v>
      </c>
      <c r="I100">
        <f t="shared" ref="I100:I112" si="23">C100*60</f>
        <v>48000</v>
      </c>
    </row>
    <row r="101" spans="1:9" x14ac:dyDescent="0.25">
      <c r="A101" s="33" t="s">
        <v>409</v>
      </c>
      <c r="B101">
        <v>7</v>
      </c>
      <c r="C101" s="25">
        <f t="shared" si="17"/>
        <v>933.33333333333337</v>
      </c>
      <c r="D101" s="25">
        <f t="shared" si="18"/>
        <v>1166.6666666666667</v>
      </c>
      <c r="E101" s="25">
        <f t="shared" si="19"/>
        <v>1400</v>
      </c>
      <c r="F101" s="25">
        <f t="shared" si="20"/>
        <v>14000</v>
      </c>
      <c r="G101" s="25">
        <f t="shared" si="21"/>
        <v>28000</v>
      </c>
      <c r="H101" s="25">
        <f t="shared" si="22"/>
        <v>46666.666666666664</v>
      </c>
      <c r="I101">
        <f t="shared" si="23"/>
        <v>56000</v>
      </c>
    </row>
    <row r="102" spans="1:9" x14ac:dyDescent="0.25">
      <c r="A102" s="33" t="s">
        <v>410</v>
      </c>
      <c r="B102">
        <v>8</v>
      </c>
      <c r="C102" s="25">
        <f t="shared" si="17"/>
        <v>1066.6666666666667</v>
      </c>
      <c r="D102" s="25">
        <f t="shared" si="18"/>
        <v>1333.3333333333333</v>
      </c>
      <c r="E102" s="25">
        <f t="shared" si="19"/>
        <v>1600</v>
      </c>
      <c r="F102" s="25">
        <f t="shared" si="20"/>
        <v>16000</v>
      </c>
      <c r="G102" s="25">
        <f t="shared" si="21"/>
        <v>32000</v>
      </c>
      <c r="H102" s="25">
        <f t="shared" si="22"/>
        <v>53333.333333333336</v>
      </c>
      <c r="I102">
        <f t="shared" si="23"/>
        <v>64000.000000000007</v>
      </c>
    </row>
    <row r="103" spans="1:9" x14ac:dyDescent="0.25">
      <c r="A103" s="33" t="s">
        <v>411</v>
      </c>
      <c r="B103">
        <v>9</v>
      </c>
      <c r="C103" s="25">
        <f t="shared" si="17"/>
        <v>1200</v>
      </c>
      <c r="D103" s="25">
        <f t="shared" si="18"/>
        <v>1500</v>
      </c>
      <c r="E103" s="25">
        <f t="shared" si="19"/>
        <v>1800</v>
      </c>
      <c r="F103" s="25">
        <f t="shared" si="20"/>
        <v>18000</v>
      </c>
      <c r="G103" s="25">
        <f t="shared" si="21"/>
        <v>36000</v>
      </c>
      <c r="H103" s="25">
        <f t="shared" si="22"/>
        <v>60000</v>
      </c>
      <c r="I103">
        <f t="shared" si="23"/>
        <v>72000</v>
      </c>
    </row>
    <row r="104" spans="1:9" x14ac:dyDescent="0.25">
      <c r="B104">
        <v>10</v>
      </c>
      <c r="C104" s="25">
        <f t="shared" si="17"/>
        <v>1333.3333333333333</v>
      </c>
      <c r="D104" s="25">
        <f t="shared" si="18"/>
        <v>1666.6666666666667</v>
      </c>
      <c r="E104" s="25">
        <f t="shared" si="19"/>
        <v>2000</v>
      </c>
      <c r="F104" s="25">
        <f t="shared" si="20"/>
        <v>20000</v>
      </c>
      <c r="G104" s="25">
        <f t="shared" si="21"/>
        <v>40000</v>
      </c>
      <c r="H104" s="25">
        <f t="shared" si="22"/>
        <v>66666.666666666672</v>
      </c>
      <c r="I104">
        <f t="shared" si="23"/>
        <v>80000</v>
      </c>
    </row>
    <row r="105" spans="1:9" x14ac:dyDescent="0.25">
      <c r="B105">
        <v>11</v>
      </c>
      <c r="C105" s="25">
        <f t="shared" si="17"/>
        <v>1466.6666666666667</v>
      </c>
      <c r="D105" s="25">
        <f t="shared" si="18"/>
        <v>1833.3333333333333</v>
      </c>
      <c r="E105" s="25">
        <f t="shared" si="19"/>
        <v>2200</v>
      </c>
      <c r="F105" s="25">
        <f t="shared" si="20"/>
        <v>22000</v>
      </c>
      <c r="G105" s="25">
        <f t="shared" si="21"/>
        <v>44000</v>
      </c>
      <c r="H105" s="25">
        <f t="shared" si="22"/>
        <v>73333.333333333328</v>
      </c>
      <c r="I105">
        <f t="shared" si="23"/>
        <v>88000</v>
      </c>
    </row>
    <row r="106" spans="1:9" x14ac:dyDescent="0.25">
      <c r="B106">
        <v>12</v>
      </c>
      <c r="C106" s="25">
        <f t="shared" si="17"/>
        <v>1600</v>
      </c>
      <c r="D106" s="25">
        <f t="shared" si="18"/>
        <v>2000</v>
      </c>
      <c r="E106" s="25">
        <f t="shared" si="19"/>
        <v>2400</v>
      </c>
      <c r="F106" s="25">
        <f t="shared" si="20"/>
        <v>24000</v>
      </c>
      <c r="G106" s="25">
        <f t="shared" si="21"/>
        <v>48000</v>
      </c>
      <c r="H106" s="25">
        <f t="shared" si="22"/>
        <v>80000</v>
      </c>
      <c r="I106">
        <f t="shared" si="23"/>
        <v>96000</v>
      </c>
    </row>
    <row r="107" spans="1:9" x14ac:dyDescent="0.25">
      <c r="B107">
        <v>13</v>
      </c>
      <c r="C107" s="25">
        <f t="shared" si="17"/>
        <v>1733.3333333333333</v>
      </c>
      <c r="D107" s="25">
        <f t="shared" si="18"/>
        <v>2166.6666666666665</v>
      </c>
      <c r="E107" s="25">
        <f t="shared" si="19"/>
        <v>2600</v>
      </c>
      <c r="F107" s="25">
        <f t="shared" si="20"/>
        <v>26000</v>
      </c>
      <c r="G107" s="25">
        <f t="shared" si="21"/>
        <v>52000</v>
      </c>
      <c r="H107" s="25">
        <f t="shared" si="22"/>
        <v>86666.666666666672</v>
      </c>
      <c r="I107">
        <f t="shared" si="23"/>
        <v>104000</v>
      </c>
    </row>
    <row r="108" spans="1:9" x14ac:dyDescent="0.25">
      <c r="B108">
        <v>14</v>
      </c>
      <c r="C108" s="25">
        <f t="shared" si="17"/>
        <v>1866.6666666666667</v>
      </c>
      <c r="D108" s="25">
        <f t="shared" si="18"/>
        <v>2333.3333333333335</v>
      </c>
      <c r="E108" s="25">
        <f t="shared" si="19"/>
        <v>2800</v>
      </c>
      <c r="F108" s="25">
        <f t="shared" si="20"/>
        <v>28000</v>
      </c>
      <c r="G108" s="25">
        <f t="shared" si="21"/>
        <v>56000</v>
      </c>
      <c r="H108" s="25">
        <f t="shared" si="22"/>
        <v>93333.333333333328</v>
      </c>
      <c r="I108">
        <f t="shared" si="23"/>
        <v>112000</v>
      </c>
    </row>
    <row r="109" spans="1:9" x14ac:dyDescent="0.25">
      <c r="B109">
        <v>15</v>
      </c>
      <c r="C109" s="25">
        <f t="shared" si="17"/>
        <v>2000</v>
      </c>
      <c r="D109" s="25">
        <f t="shared" si="18"/>
        <v>2500</v>
      </c>
      <c r="E109" s="25">
        <f t="shared" si="19"/>
        <v>3000</v>
      </c>
      <c r="F109" s="25">
        <f t="shared" si="20"/>
        <v>30000</v>
      </c>
      <c r="G109" s="25">
        <f t="shared" si="21"/>
        <v>60000</v>
      </c>
      <c r="H109" s="25">
        <f t="shared" si="22"/>
        <v>100000</v>
      </c>
      <c r="I109">
        <f t="shared" si="23"/>
        <v>120000</v>
      </c>
    </row>
    <row r="110" spans="1:9" x14ac:dyDescent="0.25">
      <c r="B110">
        <v>60</v>
      </c>
      <c r="C110" s="25">
        <f t="shared" si="17"/>
        <v>8000</v>
      </c>
      <c r="D110" s="25">
        <f t="shared" si="18"/>
        <v>10000</v>
      </c>
      <c r="E110" s="25">
        <f t="shared" si="19"/>
        <v>12000</v>
      </c>
      <c r="F110" s="25">
        <f t="shared" si="20"/>
        <v>120000</v>
      </c>
      <c r="G110" s="25">
        <f t="shared" si="21"/>
        <v>240000</v>
      </c>
      <c r="H110" s="25">
        <f t="shared" si="22"/>
        <v>400000</v>
      </c>
      <c r="I110">
        <f t="shared" si="23"/>
        <v>480000</v>
      </c>
    </row>
    <row r="111" spans="1:9" x14ac:dyDescent="0.25">
      <c r="B111">
        <v>120</v>
      </c>
      <c r="C111" s="25">
        <f t="shared" si="17"/>
        <v>16000</v>
      </c>
      <c r="D111" s="25">
        <f t="shared" si="18"/>
        <v>20000</v>
      </c>
      <c r="E111" s="25">
        <f t="shared" si="19"/>
        <v>24000</v>
      </c>
      <c r="F111" s="25">
        <f t="shared" si="20"/>
        <v>240000</v>
      </c>
      <c r="G111" s="25">
        <f t="shared" si="21"/>
        <v>480000</v>
      </c>
      <c r="H111" s="25">
        <f t="shared" si="22"/>
        <v>800000</v>
      </c>
      <c r="I111">
        <f t="shared" si="23"/>
        <v>960000</v>
      </c>
    </row>
    <row r="112" spans="1:9" x14ac:dyDescent="0.25">
      <c r="B112">
        <v>3600</v>
      </c>
      <c r="C112" s="25">
        <f t="shared" si="17"/>
        <v>480000</v>
      </c>
      <c r="D112" s="25">
        <f t="shared" si="18"/>
        <v>600000</v>
      </c>
      <c r="E112" s="25">
        <f t="shared" si="19"/>
        <v>720000</v>
      </c>
      <c r="F112" s="25">
        <f t="shared" si="20"/>
        <v>7200000</v>
      </c>
      <c r="G112" s="25">
        <f t="shared" si="21"/>
        <v>14400000</v>
      </c>
      <c r="H112" s="25">
        <f t="shared" si="22"/>
        <v>24000000</v>
      </c>
      <c r="I112">
        <f t="shared" si="23"/>
        <v>28800000</v>
      </c>
    </row>
    <row r="114" spans="1:9" ht="45" x14ac:dyDescent="0.25">
      <c r="B114" s="17" t="s">
        <v>331</v>
      </c>
      <c r="C114" s="17" t="s">
        <v>412</v>
      </c>
      <c r="D114" s="17" t="s">
        <v>414</v>
      </c>
      <c r="E114" s="17" t="s">
        <v>413</v>
      </c>
      <c r="F114" s="17" t="s">
        <v>413</v>
      </c>
      <c r="G114" s="17" t="s">
        <v>415</v>
      </c>
      <c r="H114" s="17" t="s">
        <v>416</v>
      </c>
      <c r="I114" s="17" t="s">
        <v>420</v>
      </c>
    </row>
    <row r="115" spans="1:9" x14ac:dyDescent="0.25">
      <c r="B115">
        <v>5</v>
      </c>
      <c r="C115" s="39">
        <f t="shared" ref="C115:H128" si="24">C99/(1000*8*60)</f>
        <v>1.3888888888888887E-3</v>
      </c>
      <c r="D115" s="39">
        <f>D99/(1000*10*60)</f>
        <v>1.3888888888888889E-3</v>
      </c>
      <c r="E115" s="39">
        <f>E99/(1000*12*60)</f>
        <v>1.3888888888888889E-3</v>
      </c>
      <c r="F115" s="39">
        <f>F99/(10000*12*60)</f>
        <v>1.3888888888888889E-3</v>
      </c>
      <c r="G115" s="39">
        <f>G99/(10000*24*60)</f>
        <v>1.3888888888888889E-3</v>
      </c>
      <c r="H115" s="39">
        <f>H99/(10000*40*60)</f>
        <v>1.3888888888888889E-3</v>
      </c>
      <c r="I115">
        <f>C115*60*60</f>
        <v>5</v>
      </c>
    </row>
    <row r="116" spans="1:9" x14ac:dyDescent="0.25">
      <c r="A116" s="33" t="s">
        <v>417</v>
      </c>
      <c r="B116">
        <v>6</v>
      </c>
      <c r="C116" s="39">
        <f t="shared" ref="C116:H116" si="25">C100/(1000*8*60)</f>
        <v>1.6666666666666668E-3</v>
      </c>
      <c r="D116" s="39">
        <f t="shared" ref="D116:D128" si="26">D100/(1000*10*60)</f>
        <v>1.6666666666666668E-3</v>
      </c>
      <c r="E116" s="39">
        <f t="shared" ref="E116:E128" si="27">E100/(1000*12*60)</f>
        <v>1.6666666666666668E-3</v>
      </c>
      <c r="F116" s="39">
        <f t="shared" ref="F116:F128" si="28">F100/(10000*12*60)</f>
        <v>1.6666666666666668E-3</v>
      </c>
      <c r="G116" s="39">
        <f t="shared" ref="G116:G128" si="29">G100/(10000*24*60)</f>
        <v>1.6666666666666668E-3</v>
      </c>
      <c r="H116" s="39">
        <f t="shared" ref="H116:H128" si="30">H100/(10000*40*60)</f>
        <v>1.6666666666666668E-3</v>
      </c>
      <c r="I116">
        <f t="shared" ref="I116:I128" si="31">C116*60*60</f>
        <v>6</v>
      </c>
    </row>
    <row r="117" spans="1:9" x14ac:dyDescent="0.25">
      <c r="A117" s="33" t="s">
        <v>418</v>
      </c>
      <c r="B117">
        <v>7</v>
      </c>
      <c r="C117" s="39">
        <f t="shared" ref="C117:H117" si="32">C101/(1000*8*60)</f>
        <v>1.9444444444444446E-3</v>
      </c>
      <c r="D117" s="39">
        <f t="shared" si="26"/>
        <v>1.9444444444444446E-3</v>
      </c>
      <c r="E117" s="39">
        <f t="shared" si="27"/>
        <v>1.9444444444444444E-3</v>
      </c>
      <c r="F117" s="39">
        <f t="shared" si="28"/>
        <v>1.9444444444444444E-3</v>
      </c>
      <c r="G117" s="39">
        <f t="shared" si="29"/>
        <v>1.9444444444444444E-3</v>
      </c>
      <c r="H117" s="39">
        <f t="shared" si="30"/>
        <v>1.9444444444444444E-3</v>
      </c>
      <c r="I117">
        <f t="shared" si="31"/>
        <v>7.0000000000000009</v>
      </c>
    </row>
    <row r="118" spans="1:9" x14ac:dyDescent="0.25">
      <c r="A118" s="33" t="s">
        <v>419</v>
      </c>
      <c r="B118">
        <v>8</v>
      </c>
      <c r="C118" s="39">
        <f t="shared" ref="C118:H118" si="33">C102/(1000*8*60)</f>
        <v>2.2222222222222222E-3</v>
      </c>
      <c r="D118" s="39">
        <f t="shared" si="26"/>
        <v>2.2222222222222222E-3</v>
      </c>
      <c r="E118" s="39">
        <f t="shared" si="27"/>
        <v>2.2222222222222222E-3</v>
      </c>
      <c r="F118" s="39">
        <f t="shared" si="28"/>
        <v>2.2222222222222222E-3</v>
      </c>
      <c r="G118" s="39">
        <f t="shared" si="29"/>
        <v>2.2222222222222222E-3</v>
      </c>
      <c r="H118" s="39">
        <f t="shared" si="30"/>
        <v>2.2222222222222222E-3</v>
      </c>
      <c r="I118">
        <f t="shared" si="31"/>
        <v>8</v>
      </c>
    </row>
    <row r="119" spans="1:9" x14ac:dyDescent="0.25">
      <c r="B119">
        <v>9</v>
      </c>
      <c r="C119" s="39">
        <f t="shared" ref="C119:H119" si="34">C103/(1000*8*60)</f>
        <v>2.5000000000000001E-3</v>
      </c>
      <c r="D119" s="39">
        <f t="shared" si="26"/>
        <v>2.5000000000000001E-3</v>
      </c>
      <c r="E119" s="39">
        <f t="shared" si="27"/>
        <v>2.5000000000000001E-3</v>
      </c>
      <c r="F119" s="39">
        <f t="shared" si="28"/>
        <v>2.5000000000000001E-3</v>
      </c>
      <c r="G119" s="39">
        <f t="shared" si="29"/>
        <v>2.5000000000000001E-3</v>
      </c>
      <c r="H119" s="39">
        <f t="shared" si="30"/>
        <v>2.5000000000000001E-3</v>
      </c>
      <c r="I119">
        <f t="shared" si="31"/>
        <v>9</v>
      </c>
    </row>
    <row r="120" spans="1:9" x14ac:dyDescent="0.25">
      <c r="B120">
        <v>10</v>
      </c>
      <c r="C120" s="39">
        <f t="shared" ref="C120:H120" si="35">C104/(1000*8*60)</f>
        <v>2.7777777777777775E-3</v>
      </c>
      <c r="D120" s="39">
        <f t="shared" si="26"/>
        <v>2.7777777777777779E-3</v>
      </c>
      <c r="E120" s="39">
        <f t="shared" si="27"/>
        <v>2.7777777777777779E-3</v>
      </c>
      <c r="F120" s="39">
        <f t="shared" si="28"/>
        <v>2.7777777777777779E-3</v>
      </c>
      <c r="G120" s="39">
        <f t="shared" si="29"/>
        <v>2.7777777777777779E-3</v>
      </c>
      <c r="H120" s="39">
        <f t="shared" si="30"/>
        <v>2.7777777777777779E-3</v>
      </c>
      <c r="I120">
        <f t="shared" si="31"/>
        <v>10</v>
      </c>
    </row>
    <row r="121" spans="1:9" x14ac:dyDescent="0.25">
      <c r="B121">
        <v>11</v>
      </c>
      <c r="C121" s="39">
        <f t="shared" ref="C121:H121" si="36">C105/(1000*8*60)</f>
        <v>3.0555555555555557E-3</v>
      </c>
      <c r="D121" s="39">
        <f t="shared" si="26"/>
        <v>3.0555555555555553E-3</v>
      </c>
      <c r="E121" s="39">
        <f t="shared" si="27"/>
        <v>3.0555555555555557E-3</v>
      </c>
      <c r="F121" s="39">
        <f t="shared" si="28"/>
        <v>3.0555555555555557E-3</v>
      </c>
      <c r="G121" s="39">
        <f t="shared" si="29"/>
        <v>3.0555555555555557E-3</v>
      </c>
      <c r="H121" s="39">
        <f t="shared" si="30"/>
        <v>3.0555555555555553E-3</v>
      </c>
      <c r="I121">
        <f t="shared" si="31"/>
        <v>11</v>
      </c>
    </row>
    <row r="122" spans="1:9" x14ac:dyDescent="0.25">
      <c r="B122">
        <v>12</v>
      </c>
      <c r="C122" s="39">
        <f t="shared" ref="C122:H122" si="37">C106/(1000*8*60)</f>
        <v>3.3333333333333335E-3</v>
      </c>
      <c r="D122" s="39">
        <f t="shared" si="26"/>
        <v>3.3333333333333335E-3</v>
      </c>
      <c r="E122" s="39">
        <f t="shared" si="27"/>
        <v>3.3333333333333335E-3</v>
      </c>
      <c r="F122" s="39">
        <f t="shared" si="28"/>
        <v>3.3333333333333335E-3</v>
      </c>
      <c r="G122" s="39">
        <f t="shared" si="29"/>
        <v>3.3333333333333335E-3</v>
      </c>
      <c r="H122" s="39">
        <f t="shared" si="30"/>
        <v>3.3333333333333335E-3</v>
      </c>
      <c r="I122">
        <f t="shared" si="31"/>
        <v>12</v>
      </c>
    </row>
    <row r="123" spans="1:9" x14ac:dyDescent="0.25">
      <c r="B123">
        <v>13</v>
      </c>
      <c r="C123" s="39">
        <f t="shared" ref="C123:H123" si="38">C107/(1000*8*60)</f>
        <v>3.6111111111111109E-3</v>
      </c>
      <c r="D123" s="39">
        <f t="shared" si="26"/>
        <v>3.6111111111111109E-3</v>
      </c>
      <c r="E123" s="39">
        <f t="shared" si="27"/>
        <v>3.6111111111111109E-3</v>
      </c>
      <c r="F123" s="39">
        <f t="shared" si="28"/>
        <v>3.6111111111111109E-3</v>
      </c>
      <c r="G123" s="39">
        <f t="shared" si="29"/>
        <v>3.6111111111111109E-3</v>
      </c>
      <c r="H123" s="39">
        <f t="shared" si="30"/>
        <v>3.6111111111111114E-3</v>
      </c>
      <c r="I123">
        <f t="shared" si="31"/>
        <v>12.999999999999998</v>
      </c>
    </row>
    <row r="124" spans="1:9" x14ac:dyDescent="0.25">
      <c r="B124">
        <v>14</v>
      </c>
      <c r="C124" s="39">
        <f t="shared" ref="C124:H124" si="39">C108/(1000*8*60)</f>
        <v>3.8888888888888892E-3</v>
      </c>
      <c r="D124" s="39">
        <f t="shared" si="26"/>
        <v>3.8888888888888892E-3</v>
      </c>
      <c r="E124" s="39">
        <f t="shared" si="27"/>
        <v>3.8888888888888888E-3</v>
      </c>
      <c r="F124" s="39">
        <f t="shared" si="28"/>
        <v>3.8888888888888888E-3</v>
      </c>
      <c r="G124" s="39">
        <f t="shared" si="29"/>
        <v>3.8888888888888888E-3</v>
      </c>
      <c r="H124" s="39">
        <f t="shared" si="30"/>
        <v>3.8888888888888888E-3</v>
      </c>
      <c r="I124">
        <f t="shared" si="31"/>
        <v>14.000000000000002</v>
      </c>
    </row>
    <row r="125" spans="1:9" x14ac:dyDescent="0.25">
      <c r="B125">
        <v>15</v>
      </c>
      <c r="C125" s="39">
        <f t="shared" ref="C125:H125" si="40">C109/(1000*8*60)</f>
        <v>4.1666666666666666E-3</v>
      </c>
      <c r="D125" s="39">
        <f t="shared" si="26"/>
        <v>4.1666666666666666E-3</v>
      </c>
      <c r="E125" s="39">
        <f t="shared" si="27"/>
        <v>4.1666666666666666E-3</v>
      </c>
      <c r="F125" s="39">
        <f t="shared" si="28"/>
        <v>4.1666666666666666E-3</v>
      </c>
      <c r="G125" s="39">
        <f t="shared" si="29"/>
        <v>4.1666666666666666E-3</v>
      </c>
      <c r="H125" s="39">
        <f t="shared" si="30"/>
        <v>4.1666666666666666E-3</v>
      </c>
      <c r="I125">
        <f t="shared" si="31"/>
        <v>15</v>
      </c>
    </row>
    <row r="126" spans="1:9" x14ac:dyDescent="0.25">
      <c r="B126">
        <v>60</v>
      </c>
      <c r="C126" s="39">
        <f t="shared" ref="C126:H126" si="41">C110/(1000*8*60)</f>
        <v>1.6666666666666666E-2</v>
      </c>
      <c r="D126" s="39">
        <f t="shared" si="26"/>
        <v>1.6666666666666666E-2</v>
      </c>
      <c r="E126" s="39">
        <f t="shared" si="27"/>
        <v>1.6666666666666666E-2</v>
      </c>
      <c r="F126" s="39">
        <f t="shared" si="28"/>
        <v>1.6666666666666666E-2</v>
      </c>
      <c r="G126" s="39">
        <f t="shared" si="29"/>
        <v>1.6666666666666666E-2</v>
      </c>
      <c r="H126" s="39">
        <f t="shared" si="30"/>
        <v>1.6666666666666666E-2</v>
      </c>
      <c r="I126">
        <f t="shared" si="31"/>
        <v>60</v>
      </c>
    </row>
    <row r="127" spans="1:9" x14ac:dyDescent="0.25">
      <c r="B127">
        <v>120</v>
      </c>
      <c r="C127" s="39">
        <f t="shared" ref="C127:H127" si="42">C111/(1000*8*60)</f>
        <v>3.3333333333333333E-2</v>
      </c>
      <c r="D127" s="39">
        <f t="shared" si="26"/>
        <v>3.3333333333333333E-2</v>
      </c>
      <c r="E127" s="39">
        <f t="shared" si="27"/>
        <v>3.3333333333333333E-2</v>
      </c>
      <c r="F127" s="39">
        <f t="shared" si="28"/>
        <v>3.3333333333333333E-2</v>
      </c>
      <c r="G127" s="39">
        <f t="shared" si="29"/>
        <v>3.3333333333333333E-2</v>
      </c>
      <c r="H127" s="39">
        <f t="shared" si="30"/>
        <v>3.3333333333333333E-2</v>
      </c>
      <c r="I127">
        <f t="shared" si="31"/>
        <v>120</v>
      </c>
    </row>
    <row r="128" spans="1:9" x14ac:dyDescent="0.25">
      <c r="B128">
        <v>3600</v>
      </c>
      <c r="C128" s="39">
        <f t="shared" ref="C128:H128" si="43">C112/(1000*8*60)</f>
        <v>1</v>
      </c>
      <c r="D128" s="39">
        <f t="shared" si="26"/>
        <v>1</v>
      </c>
      <c r="E128" s="39">
        <f t="shared" si="27"/>
        <v>1</v>
      </c>
      <c r="F128" s="39">
        <f t="shared" si="28"/>
        <v>1</v>
      </c>
      <c r="G128" s="39">
        <f t="shared" si="29"/>
        <v>1</v>
      </c>
      <c r="H128" s="39">
        <f t="shared" si="30"/>
        <v>1</v>
      </c>
      <c r="I128">
        <f t="shared" si="31"/>
        <v>3600</v>
      </c>
    </row>
    <row r="131" spans="1:9" ht="45" x14ac:dyDescent="0.25">
      <c r="B131" s="17" t="s">
        <v>331</v>
      </c>
      <c r="C131" s="17" t="s">
        <v>427</v>
      </c>
      <c r="D131" s="17" t="s">
        <v>426</v>
      </c>
      <c r="E131" s="17" t="s">
        <v>425</v>
      </c>
      <c r="F131" s="17" t="s">
        <v>422</v>
      </c>
      <c r="G131" s="17" t="s">
        <v>424</v>
      </c>
      <c r="H131" s="17" t="s">
        <v>423</v>
      </c>
      <c r="I131" s="17"/>
    </row>
    <row r="132" spans="1:9" x14ac:dyDescent="0.25">
      <c r="B132">
        <v>5</v>
      </c>
      <c r="C132" s="25">
        <f>C99/4</f>
        <v>166.66666666666666</v>
      </c>
      <c r="D132" s="25">
        <f t="shared" ref="D132:E132" si="44">D99/4</f>
        <v>208.33333333333334</v>
      </c>
      <c r="E132" s="25">
        <f t="shared" si="44"/>
        <v>250</v>
      </c>
      <c r="F132" s="25">
        <f>F99/40</f>
        <v>250</v>
      </c>
      <c r="G132" s="25">
        <f t="shared" ref="G132:I132" si="45">G99/40</f>
        <v>500</v>
      </c>
      <c r="H132" s="25">
        <f t="shared" si="45"/>
        <v>833.33333333333337</v>
      </c>
      <c r="I132" s="25"/>
    </row>
    <row r="133" spans="1:9" x14ac:dyDescent="0.25">
      <c r="A133" s="33" t="s">
        <v>417</v>
      </c>
      <c r="B133">
        <v>6</v>
      </c>
      <c r="C133" s="25">
        <f t="shared" ref="C133:E133" si="46">C100/4</f>
        <v>200</v>
      </c>
      <c r="D133" s="25">
        <f t="shared" si="46"/>
        <v>250</v>
      </c>
      <c r="E133" s="25">
        <f t="shared" si="46"/>
        <v>300</v>
      </c>
      <c r="F133" s="25">
        <f t="shared" ref="F133:I133" si="47">F100/40</f>
        <v>300</v>
      </c>
      <c r="G133" s="25">
        <f t="shared" si="47"/>
        <v>600</v>
      </c>
      <c r="H133" s="25">
        <f t="shared" si="47"/>
        <v>1000</v>
      </c>
      <c r="I133" s="25"/>
    </row>
    <row r="134" spans="1:9" x14ac:dyDescent="0.25">
      <c r="A134" s="33" t="s">
        <v>421</v>
      </c>
      <c r="B134">
        <v>7</v>
      </c>
      <c r="C134" s="25">
        <f t="shared" ref="C134:E134" si="48">C101/4</f>
        <v>233.33333333333334</v>
      </c>
      <c r="D134" s="25">
        <f t="shared" si="48"/>
        <v>291.66666666666669</v>
      </c>
      <c r="E134" s="25">
        <f t="shared" si="48"/>
        <v>350</v>
      </c>
      <c r="F134" s="25">
        <f t="shared" ref="F134:I134" si="49">F101/40</f>
        <v>350</v>
      </c>
      <c r="G134" s="25">
        <f t="shared" si="49"/>
        <v>700</v>
      </c>
      <c r="H134" s="25">
        <f t="shared" si="49"/>
        <v>1166.6666666666665</v>
      </c>
      <c r="I134" s="25"/>
    </row>
    <row r="135" spans="1:9" x14ac:dyDescent="0.25">
      <c r="B135">
        <v>8</v>
      </c>
      <c r="C135" s="25">
        <f t="shared" ref="C135:E135" si="50">C102/4</f>
        <v>266.66666666666669</v>
      </c>
      <c r="D135" s="25">
        <f t="shared" si="50"/>
        <v>333.33333333333331</v>
      </c>
      <c r="E135" s="25">
        <f t="shared" si="50"/>
        <v>400</v>
      </c>
      <c r="F135" s="25">
        <f t="shared" ref="F135:I135" si="51">F102/40</f>
        <v>400</v>
      </c>
      <c r="G135" s="25">
        <f t="shared" si="51"/>
        <v>800</v>
      </c>
      <c r="H135" s="25">
        <f t="shared" si="51"/>
        <v>1333.3333333333335</v>
      </c>
      <c r="I135" s="25"/>
    </row>
    <row r="136" spans="1:9" x14ac:dyDescent="0.25">
      <c r="B136">
        <v>9</v>
      </c>
      <c r="C136" s="25">
        <f t="shared" ref="C136:E136" si="52">C103/4</f>
        <v>300</v>
      </c>
      <c r="D136" s="25">
        <f t="shared" si="52"/>
        <v>375</v>
      </c>
      <c r="E136" s="25">
        <f t="shared" si="52"/>
        <v>450</v>
      </c>
      <c r="F136" s="25">
        <f t="shared" ref="F136:I136" si="53">F103/40</f>
        <v>450</v>
      </c>
      <c r="G136" s="25">
        <f t="shared" si="53"/>
        <v>900</v>
      </c>
      <c r="H136" s="25">
        <f t="shared" si="53"/>
        <v>1500</v>
      </c>
      <c r="I136" s="25"/>
    </row>
    <row r="137" spans="1:9" x14ac:dyDescent="0.25">
      <c r="B137">
        <v>10</v>
      </c>
      <c r="C137" s="25">
        <f t="shared" ref="C137:E137" si="54">C104/4</f>
        <v>333.33333333333331</v>
      </c>
      <c r="D137" s="25">
        <f t="shared" si="54"/>
        <v>416.66666666666669</v>
      </c>
      <c r="E137" s="25">
        <f t="shared" si="54"/>
        <v>500</v>
      </c>
      <c r="F137" s="25">
        <f t="shared" ref="F137:I137" si="55">F104/40</f>
        <v>500</v>
      </c>
      <c r="G137" s="25">
        <f t="shared" si="55"/>
        <v>1000</v>
      </c>
      <c r="H137" s="25">
        <f t="shared" si="55"/>
        <v>1666.6666666666667</v>
      </c>
      <c r="I137" s="25"/>
    </row>
    <row r="138" spans="1:9" x14ac:dyDescent="0.25">
      <c r="B138">
        <v>11</v>
      </c>
      <c r="C138" s="25">
        <f t="shared" ref="C138:E138" si="56">C105/4</f>
        <v>366.66666666666669</v>
      </c>
      <c r="D138" s="25">
        <f t="shared" si="56"/>
        <v>458.33333333333331</v>
      </c>
      <c r="E138" s="25">
        <f t="shared" si="56"/>
        <v>550</v>
      </c>
      <c r="F138" s="25">
        <f t="shared" ref="F138:I138" si="57">F105/40</f>
        <v>550</v>
      </c>
      <c r="G138" s="25">
        <f t="shared" si="57"/>
        <v>1100</v>
      </c>
      <c r="H138" s="25">
        <f t="shared" si="57"/>
        <v>1833.3333333333333</v>
      </c>
      <c r="I138" s="25"/>
    </row>
    <row r="139" spans="1:9" x14ac:dyDescent="0.25">
      <c r="B139">
        <v>12</v>
      </c>
      <c r="C139" s="25">
        <f t="shared" ref="C139:E139" si="58">C106/4</f>
        <v>400</v>
      </c>
      <c r="D139" s="25">
        <f t="shared" si="58"/>
        <v>500</v>
      </c>
      <c r="E139" s="25">
        <f t="shared" si="58"/>
        <v>600</v>
      </c>
      <c r="F139" s="25">
        <f t="shared" ref="F139:I139" si="59">F106/40</f>
        <v>600</v>
      </c>
      <c r="G139" s="25">
        <f t="shared" si="59"/>
        <v>1200</v>
      </c>
      <c r="H139" s="25">
        <f t="shared" si="59"/>
        <v>2000</v>
      </c>
      <c r="I139" s="25"/>
    </row>
    <row r="140" spans="1:9" x14ac:dyDescent="0.25">
      <c r="B140">
        <v>13</v>
      </c>
      <c r="C140" s="25">
        <f t="shared" ref="C140:E140" si="60">C107/4</f>
        <v>433.33333333333331</v>
      </c>
      <c r="D140" s="25">
        <f t="shared" si="60"/>
        <v>541.66666666666663</v>
      </c>
      <c r="E140" s="25">
        <f t="shared" si="60"/>
        <v>650</v>
      </c>
      <c r="F140" s="25">
        <f t="shared" ref="F140:I140" si="61">F107/40</f>
        <v>650</v>
      </c>
      <c r="G140" s="25">
        <f t="shared" si="61"/>
        <v>1300</v>
      </c>
      <c r="H140" s="25">
        <f t="shared" si="61"/>
        <v>2166.666666666667</v>
      </c>
      <c r="I140" s="25"/>
    </row>
    <row r="141" spans="1:9" x14ac:dyDescent="0.25">
      <c r="B141">
        <v>14</v>
      </c>
      <c r="C141" s="25">
        <f t="shared" ref="C141:E141" si="62">C108/4</f>
        <v>466.66666666666669</v>
      </c>
      <c r="D141" s="25">
        <f t="shared" si="62"/>
        <v>583.33333333333337</v>
      </c>
      <c r="E141" s="25">
        <f t="shared" si="62"/>
        <v>700</v>
      </c>
      <c r="F141" s="25">
        <f t="shared" ref="F141:I141" si="63">F108/40</f>
        <v>700</v>
      </c>
      <c r="G141" s="25">
        <f t="shared" si="63"/>
        <v>1400</v>
      </c>
      <c r="H141" s="25">
        <f t="shared" si="63"/>
        <v>2333.333333333333</v>
      </c>
      <c r="I141" s="25"/>
    </row>
    <row r="142" spans="1:9" x14ac:dyDescent="0.25">
      <c r="B142">
        <v>15</v>
      </c>
      <c r="C142" s="25">
        <f t="shared" ref="C142:E142" si="64">C109/4</f>
        <v>500</v>
      </c>
      <c r="D142" s="25">
        <f t="shared" si="64"/>
        <v>625</v>
      </c>
      <c r="E142" s="25">
        <f t="shared" si="64"/>
        <v>750</v>
      </c>
      <c r="F142" s="25">
        <f t="shared" ref="F142:I142" si="65">F109/40</f>
        <v>750</v>
      </c>
      <c r="G142" s="25">
        <f t="shared" si="65"/>
        <v>1500</v>
      </c>
      <c r="H142" s="25">
        <f t="shared" si="65"/>
        <v>2500</v>
      </c>
      <c r="I142" s="25"/>
    </row>
    <row r="143" spans="1:9" x14ac:dyDescent="0.25">
      <c r="B143">
        <v>60</v>
      </c>
      <c r="C143" s="25">
        <f t="shared" ref="C143:E143" si="66">C110/4</f>
        <v>2000</v>
      </c>
      <c r="D143" s="25">
        <f t="shared" si="66"/>
        <v>2500</v>
      </c>
      <c r="E143" s="25">
        <f t="shared" si="66"/>
        <v>3000</v>
      </c>
      <c r="F143" s="25">
        <f t="shared" ref="F143:I143" si="67">F110/40</f>
        <v>3000</v>
      </c>
      <c r="G143" s="25">
        <f t="shared" si="67"/>
        <v>6000</v>
      </c>
      <c r="H143" s="25">
        <f t="shared" si="67"/>
        <v>10000</v>
      </c>
      <c r="I143" s="25"/>
    </row>
    <row r="144" spans="1:9" x14ac:dyDescent="0.25">
      <c r="B144">
        <v>120</v>
      </c>
      <c r="C144" s="25">
        <f t="shared" ref="C144:E144" si="68">C111/4</f>
        <v>4000</v>
      </c>
      <c r="D144" s="25">
        <f t="shared" si="68"/>
        <v>5000</v>
      </c>
      <c r="E144" s="25">
        <f t="shared" si="68"/>
        <v>6000</v>
      </c>
      <c r="F144" s="25">
        <f t="shared" ref="F144:I144" si="69">F111/40</f>
        <v>6000</v>
      </c>
      <c r="G144" s="25">
        <f t="shared" si="69"/>
        <v>12000</v>
      </c>
      <c r="H144" s="25">
        <f t="shared" si="69"/>
        <v>20000</v>
      </c>
      <c r="I144" s="25"/>
    </row>
    <row r="145" spans="2:9" x14ac:dyDescent="0.25">
      <c r="B145">
        <v>3600</v>
      </c>
      <c r="C145" s="25">
        <f t="shared" ref="C145:E145" si="70">C112/4</f>
        <v>120000</v>
      </c>
      <c r="D145" s="25">
        <f t="shared" si="70"/>
        <v>150000</v>
      </c>
      <c r="E145" s="25">
        <f t="shared" si="70"/>
        <v>180000</v>
      </c>
      <c r="F145" s="25">
        <f t="shared" ref="F145:I145" si="71">F112/40</f>
        <v>180000</v>
      </c>
      <c r="G145" s="25">
        <f t="shared" si="71"/>
        <v>360000</v>
      </c>
      <c r="H145" s="25">
        <f t="shared" si="71"/>
        <v>600000</v>
      </c>
      <c r="I145" s="25"/>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0ED27-F065-4F3E-AB52-02388EC318EE}">
  <dimension ref="A1:I24"/>
  <sheetViews>
    <sheetView workbookViewId="0"/>
  </sheetViews>
  <sheetFormatPr defaultRowHeight="15" x14ac:dyDescent="0.25"/>
  <sheetData>
    <row r="1" spans="1:9" x14ac:dyDescent="0.25">
      <c r="B1">
        <v>3.28</v>
      </c>
      <c r="C1" s="28">
        <v>0.999</v>
      </c>
      <c r="D1" s="28">
        <v>0.99990000000000001</v>
      </c>
      <c r="E1">
        <v>0.185</v>
      </c>
    </row>
    <row r="2" spans="1:9" x14ac:dyDescent="0.25">
      <c r="A2" t="s">
        <v>314</v>
      </c>
      <c r="B2" t="s">
        <v>42</v>
      </c>
      <c r="C2" t="s">
        <v>315</v>
      </c>
      <c r="D2" t="s">
        <v>40</v>
      </c>
      <c r="E2" t="s">
        <v>316</v>
      </c>
      <c r="G2" t="s">
        <v>319</v>
      </c>
      <c r="I2" t="s">
        <v>33</v>
      </c>
    </row>
    <row r="3" spans="1:9" x14ac:dyDescent="0.25">
      <c r="B3">
        <v>1</v>
      </c>
      <c r="C3">
        <v>15</v>
      </c>
      <c r="E3">
        <f t="shared" ref="E3:E9" si="0">E$1*B3*B3</f>
        <v>0.185</v>
      </c>
      <c r="G3">
        <f t="shared" ref="G3:G12" si="1">60/E3</f>
        <v>324.32432432432432</v>
      </c>
    </row>
    <row r="4" spans="1:9" x14ac:dyDescent="0.25">
      <c r="B4">
        <f>B3+1</f>
        <v>2</v>
      </c>
      <c r="C4">
        <v>15</v>
      </c>
      <c r="E4">
        <f t="shared" si="0"/>
        <v>0.74</v>
      </c>
      <c r="G4">
        <f t="shared" si="1"/>
        <v>81.081081081081081</v>
      </c>
    </row>
    <row r="5" spans="1:9" x14ac:dyDescent="0.25">
      <c r="B5">
        <f t="shared" ref="B5:B12" si="2">B4+1</f>
        <v>3</v>
      </c>
      <c r="C5">
        <v>15</v>
      </c>
      <c r="E5">
        <f t="shared" si="0"/>
        <v>1.6649999999999998</v>
      </c>
      <c r="G5">
        <f t="shared" si="1"/>
        <v>36.036036036036037</v>
      </c>
    </row>
    <row r="6" spans="1:9" x14ac:dyDescent="0.25">
      <c r="B6" s="10">
        <f t="shared" si="2"/>
        <v>4</v>
      </c>
      <c r="C6" s="10">
        <v>15</v>
      </c>
      <c r="D6" s="10"/>
      <c r="E6" s="10">
        <f t="shared" si="0"/>
        <v>2.96</v>
      </c>
      <c r="F6" s="10"/>
      <c r="G6" s="10">
        <f t="shared" si="1"/>
        <v>20.27027027027027</v>
      </c>
      <c r="I6" t="s">
        <v>320</v>
      </c>
    </row>
    <row r="7" spans="1:9" x14ac:dyDescent="0.25">
      <c r="B7">
        <f t="shared" si="2"/>
        <v>5</v>
      </c>
      <c r="C7">
        <v>15</v>
      </c>
      <c r="E7">
        <f t="shared" si="0"/>
        <v>4.625</v>
      </c>
      <c r="G7">
        <f t="shared" si="1"/>
        <v>12.972972972972974</v>
      </c>
    </row>
    <row r="8" spans="1:9" x14ac:dyDescent="0.25">
      <c r="B8">
        <f t="shared" si="2"/>
        <v>6</v>
      </c>
      <c r="C8">
        <v>15</v>
      </c>
      <c r="E8">
        <f t="shared" si="0"/>
        <v>6.6599999999999993</v>
      </c>
      <c r="G8">
        <f t="shared" si="1"/>
        <v>9.0090090090090094</v>
      </c>
    </row>
    <row r="9" spans="1:9" x14ac:dyDescent="0.25">
      <c r="B9">
        <f t="shared" si="2"/>
        <v>7</v>
      </c>
      <c r="C9">
        <v>15</v>
      </c>
      <c r="E9">
        <f t="shared" si="0"/>
        <v>9.0649999999999995</v>
      </c>
      <c r="G9">
        <f t="shared" si="1"/>
        <v>6.6188637617209052</v>
      </c>
    </row>
    <row r="10" spans="1:9" x14ac:dyDescent="0.25">
      <c r="A10">
        <v>2.5</v>
      </c>
      <c r="B10">
        <f>A10*3.28</f>
        <v>8.1999999999999993</v>
      </c>
      <c r="C10">
        <v>15</v>
      </c>
      <c r="D10">
        <v>12.4</v>
      </c>
      <c r="E10">
        <f>E$1*B10*B10</f>
        <v>12.439399999999997</v>
      </c>
      <c r="G10">
        <f t="shared" si="1"/>
        <v>4.8233837644902495</v>
      </c>
      <c r="I10" t="s">
        <v>322</v>
      </c>
    </row>
    <row r="11" spans="1:9" x14ac:dyDescent="0.25">
      <c r="B11" s="10">
        <f t="shared" si="2"/>
        <v>9.1999999999999993</v>
      </c>
      <c r="C11" s="10">
        <v>15</v>
      </c>
      <c r="D11" s="10"/>
      <c r="E11" s="10">
        <f t="shared" ref="E11:E12" si="3">E$1*B11*B11</f>
        <v>15.658399999999999</v>
      </c>
      <c r="F11" s="10"/>
      <c r="G11" s="10">
        <f t="shared" si="1"/>
        <v>3.8318091248147961</v>
      </c>
      <c r="I11" t="s">
        <v>321</v>
      </c>
    </row>
    <row r="12" spans="1:9" x14ac:dyDescent="0.25">
      <c r="B12">
        <f t="shared" si="2"/>
        <v>10.199999999999999</v>
      </c>
      <c r="C12">
        <v>15</v>
      </c>
      <c r="E12">
        <f t="shared" si="3"/>
        <v>19.247399999999995</v>
      </c>
      <c r="G12">
        <f t="shared" si="1"/>
        <v>3.11730415536644</v>
      </c>
    </row>
    <row r="14" spans="1:9" x14ac:dyDescent="0.25">
      <c r="A14" t="s">
        <v>317</v>
      </c>
      <c r="C14">
        <f>AVERAGE(C3:C12)</f>
        <v>15</v>
      </c>
      <c r="E14">
        <f>AVERAGE(E3:E12)</f>
        <v>7.3245199999999997</v>
      </c>
    </row>
    <row r="15" spans="1:9" x14ac:dyDescent="0.25">
      <c r="A15" t="s">
        <v>318</v>
      </c>
      <c r="C15">
        <f>60/C14</f>
        <v>4</v>
      </c>
      <c r="E15">
        <f>60/E14</f>
        <v>8.1916630714367642</v>
      </c>
    </row>
    <row r="17" spans="1:1" x14ac:dyDescent="0.25">
      <c r="A17" t="s">
        <v>323</v>
      </c>
    </row>
    <row r="18" spans="1:1" x14ac:dyDescent="0.25">
      <c r="A18" t="s">
        <v>329</v>
      </c>
    </row>
    <row r="19" spans="1:1" x14ac:dyDescent="0.25">
      <c r="A19" t="s">
        <v>324</v>
      </c>
    </row>
    <row r="21" spans="1:1" x14ac:dyDescent="0.25">
      <c r="A21" t="s">
        <v>325</v>
      </c>
    </row>
    <row r="22" spans="1:1" x14ac:dyDescent="0.25">
      <c r="A22" t="s">
        <v>326</v>
      </c>
    </row>
    <row r="23" spans="1:1" x14ac:dyDescent="0.25">
      <c r="A23" t="s">
        <v>327</v>
      </c>
    </row>
    <row r="24" spans="1:1" x14ac:dyDescent="0.25">
      <c r="A24" t="s">
        <v>328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ACH Calc Ex</vt:lpstr>
      <vt:lpstr>eACH Calc</vt:lpstr>
      <vt:lpstr>Facility</vt:lpstr>
      <vt:lpstr>Vents</vt:lpstr>
      <vt:lpstr>ASHRAE 62.1</vt:lpstr>
      <vt:lpstr>ASHRAE 241P</vt:lpstr>
      <vt:lpstr>UV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Cassbeth</dc:creator>
  <cp:lastModifiedBy> walt</cp:lastModifiedBy>
  <dcterms:created xsi:type="dcterms:W3CDTF">2015-06-05T18:17:20Z</dcterms:created>
  <dcterms:modified xsi:type="dcterms:W3CDTF">2023-07-29T11:06:30Z</dcterms:modified>
</cp:coreProperties>
</file>